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omments/comment1.xml" ContentType="application/vnd.openxmlformats-officedocument.spreadsheetml.comment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0" yWindow="600" windowWidth="51200" windowHeight="18820" tabRatio="500" firstSheet="0" activeTab="0" autoFilterDateGrouping="1"/>
  </bookViews>
  <sheets>
    <sheet xmlns:r="http://schemas.openxmlformats.org/officeDocument/2006/relationships" name="README" sheetId="1" state="visible" r:id="rId1"/>
    <sheet xmlns:r="http://schemas.openxmlformats.org/officeDocument/2006/relationships" name="Executive Summary" sheetId="2" state="visible" r:id="rId2"/>
    <sheet xmlns:r="http://schemas.openxmlformats.org/officeDocument/2006/relationships" name="Sensitivity Analysis" sheetId="3" state="visible" r:id="rId3"/>
    <sheet xmlns:r="http://schemas.openxmlformats.org/officeDocument/2006/relationships" name="Operating Model" sheetId="4" state="visible" r:id="rId4"/>
    <sheet xmlns:r="http://schemas.openxmlformats.org/officeDocument/2006/relationships" name="Land Sale to MF Developer" sheetId="5" state="visible" r:id="rId5"/>
    <sheet xmlns:r="http://schemas.openxmlformats.org/officeDocument/2006/relationships" name="5-Yr Exit Scenarios" sheetId="6" state="visible" r:id="rId6"/>
    <sheet xmlns:r="http://schemas.openxmlformats.org/officeDocument/2006/relationships" name="LP Waterfall" sheetId="7" state="visible" r:id="rId7"/>
    <sheet xmlns:r="http://schemas.openxmlformats.org/officeDocument/2006/relationships" name="Tax Case Study" sheetId="8" state="visible" r:id="rId8"/>
    <sheet xmlns:r="http://schemas.openxmlformats.org/officeDocument/2006/relationships" name="Tax Model" sheetId="9" state="visible" r:id="rId9"/>
    <sheet xmlns:r="http://schemas.openxmlformats.org/officeDocument/2006/relationships" name="Tax Constants" sheetId="10" state="visible" r:id="rId10"/>
    <sheet xmlns:r="http://schemas.openxmlformats.org/officeDocument/2006/relationships" name="Scenario 3 - CVS Yr7 Sale" sheetId="11" state="visible" r:id="rId11"/>
    <sheet xmlns:r="http://schemas.openxmlformats.org/officeDocument/2006/relationships" name="Scenario 4 - CVS Contribution" sheetId="12" state="visible" r:id="rId12"/>
    <sheet xmlns:r="http://schemas.openxmlformats.org/officeDocument/2006/relationships" name="MF Dev — CVS Parcel" sheetId="13" state="visible" r:id="rId13"/>
  </sheets>
  <definedNames/>
  <calcPr calcId="191029" fullCalcOnLoad="1" iterateDelta="0.0001"/>
</workbook>
</file>

<file path=xl/styles.xml><?xml version="1.0" encoding="utf-8"?>
<styleSheet xmlns="http://schemas.openxmlformats.org/spreadsheetml/2006/main">
  <numFmts count="19">
    <numFmt numFmtId="164" formatCode="\$#,##0"/>
    <numFmt numFmtId="165" formatCode="0.0%"/>
    <numFmt numFmtId="166" formatCode="0&quot; yrs IO&quot;"/>
    <numFmt numFmtId="167" formatCode="0.00\x"/>
    <numFmt numFmtId="168" formatCode="\$#,##0.00"/>
    <numFmt numFmtId="169" formatCode="\$#,##0,,\M"/>
    <numFmt numFmtId="170" formatCode="\$0.00"/>
    <numFmt numFmtId="171" formatCode="\$#,##0;&quot;($&quot;#,##0\);\-"/>
    <numFmt numFmtId="172" formatCode="_(* #,##0.00_);_(* \(#,##0.00\);_(* \-??_);_(@_)"/>
    <numFmt numFmtId="173" formatCode="0.0"/>
    <numFmt numFmtId="174" formatCode="0.000%"/>
    <numFmt numFmtId="175" formatCode="0.00&quot;x&quot;"/>
    <numFmt numFmtId="176" formatCode="_(\$* #,##0_);_(\$* \(#,##0\);_(\$* &quot;—&quot;??_);_(@_)"/>
    <numFmt numFmtId="177" formatCode="0.00&quot;×&quot;"/>
    <numFmt numFmtId="178" formatCode="\+#,##0&quot; bps IRR&quot;"/>
    <numFmt numFmtId="179" formatCode="#,##0&quot; bps&quot;"/>
    <numFmt numFmtId="180" formatCode="&quot;$&quot;#,##0"/>
    <numFmt numFmtId="181" formatCode="\+0.00&quot;x&quot;;\-0.00&quot;x&quot;"/>
    <numFmt numFmtId="182" formatCode="&quot;$&quot;#,##0.00"/>
  </numFmts>
  <fonts count="79">
    <font>
      <name val="Calibri"/>
      <charset val="1"/>
      <family val="2"/>
      <color theme="1"/>
      <sz val="11"/>
    </font>
    <font>
      <name val="Arial"/>
      <charset val="1"/>
      <family val="2"/>
      <b val="1"/>
      <color rgb="FFFFFFFF"/>
      <sz val="10"/>
    </font>
    <font>
      <name val="Arial"/>
      <charset val="1"/>
      <family val="2"/>
      <sz val="10"/>
    </font>
    <font>
      <name val="Arial"/>
      <charset val="1"/>
      <family val="2"/>
      <b val="1"/>
      <sz val="10"/>
    </font>
    <font>
      <name val="Arial"/>
      <charset val="1"/>
      <family val="2"/>
      <color rgb="FF000000"/>
      <sz val="10"/>
    </font>
    <font>
      <name val="Arial"/>
      <charset val="1"/>
      <family val="2"/>
      <b val="1"/>
      <color rgb="FF1F3864"/>
      <sz val="10"/>
    </font>
    <font>
      <name val="Arial"/>
      <charset val="1"/>
      <family val="2"/>
      <color rgb="FF666666"/>
      <sz val="10"/>
    </font>
    <font>
      <name val="Arial"/>
      <charset val="1"/>
      <family val="2"/>
      <b val="1"/>
      <color rgb="FF0000FF"/>
      <sz val="10"/>
    </font>
    <font>
      <name val="Arial"/>
      <charset val="1"/>
      <family val="2"/>
      <b val="1"/>
      <color rgb="FF008000"/>
      <sz val="10"/>
    </font>
    <font>
      <name val="Arial"/>
      <family val="2"/>
      <b val="1"/>
      <sz val="14"/>
    </font>
    <font>
      <name val="Arial"/>
      <family val="2"/>
      <i val="1"/>
      <color rgb="FF666666"/>
      <sz val="10"/>
    </font>
    <font>
      <name val="Arial"/>
      <family val="2"/>
      <b val="1"/>
      <sz val="11"/>
    </font>
    <font>
      <name val="Arial"/>
      <family val="2"/>
      <sz val="10"/>
    </font>
    <font>
      <name val="Arial"/>
      <family val="2"/>
      <b val="1"/>
      <sz val="10"/>
    </font>
    <font>
      <name val="Arial"/>
      <family val="2"/>
      <b val="1"/>
      <sz val="9"/>
    </font>
    <font>
      <name val="Arial"/>
      <family val="2"/>
      <color rgb="FF666666"/>
      <sz val="9"/>
    </font>
    <font>
      <name val="Arial"/>
      <family val="2"/>
      <sz val="9"/>
    </font>
    <font>
      <name val="Arial"/>
      <family val="2"/>
      <color rgb="FF444444"/>
      <sz val="9"/>
    </font>
    <font>
      <name val="Arial"/>
      <family val="2"/>
      <b val="1"/>
      <color rgb="FF1F3A5F"/>
      <sz val="13"/>
    </font>
    <font>
      <name val="Arial"/>
      <family val="2"/>
      <b val="1"/>
      <color rgb="FFFFFFFF"/>
      <sz val="11"/>
    </font>
    <font>
      <name val="Arial"/>
      <family val="2"/>
      <color rgb="FF0000FF"/>
      <sz val="10"/>
    </font>
    <font>
      <name val="Arial"/>
      <family val="2"/>
      <color rgb="FF008000"/>
      <sz val="10"/>
    </font>
    <font>
      <name val="Arial"/>
      <family val="2"/>
      <i val="1"/>
      <color rgb="FF666666"/>
      <sz val="9"/>
    </font>
    <font>
      <name val="Arial"/>
      <charset val="1"/>
      <family val="2"/>
      <i val="1"/>
      <color rgb="FF666666"/>
      <sz val="10"/>
    </font>
    <font>
      <name val="Arial"/>
      <charset val="1"/>
      <family val="2"/>
      <color rgb="FF0000FF"/>
      <sz val="10"/>
    </font>
    <font>
      <name val="Calibri"/>
      <charset val="1"/>
      <family val="2"/>
      <i val="1"/>
      <color theme="1"/>
      <sz val="11"/>
    </font>
    <font>
      <name val="Arial"/>
      <charset val="1"/>
      <family val="2"/>
      <i val="1"/>
      <sz val="10"/>
    </font>
    <font>
      <name val="Arial"/>
      <charset val="1"/>
      <family val="2"/>
      <color rgb="FF008000"/>
      <sz val="10"/>
    </font>
    <font>
      <name val="Calibri"/>
      <family val="2"/>
      <b val="1"/>
      <i val="1"/>
      <color rgb="FF666666"/>
      <sz val="9"/>
    </font>
    <font>
      <name val="Calibri"/>
      <family val="2"/>
      <b val="1"/>
      <sz val="9"/>
    </font>
    <font>
      <name val="Georgia"/>
      <family val="1"/>
      <b val="1"/>
      <color rgb="FFFFFFFF"/>
      <sz val="13"/>
    </font>
    <font>
      <name val="Calibri"/>
      <family val="2"/>
      <color rgb="FF0B163C"/>
      <sz val="10"/>
    </font>
    <font>
      <name val="Calibri"/>
      <family val="2"/>
      <b val="1"/>
      <color rgb="FF0B163C"/>
      <sz val="10"/>
    </font>
    <font>
      <name val="Calibri"/>
      <family val="2"/>
      <b val="1"/>
      <color rgb="FF3A243A"/>
      <sz val="10"/>
    </font>
    <font>
      <name val="Calibri"/>
      <family val="2"/>
      <b val="1"/>
      <color rgb="FF6E6A61"/>
      <sz val="9"/>
    </font>
    <font>
      <name val="Georgia"/>
      <family val="1"/>
      <b val="1"/>
      <color rgb="FFFFFFFF"/>
      <sz val="18"/>
    </font>
    <font>
      <name val="Calibri"/>
      <family val="2"/>
      <i val="1"/>
      <color rgb="FF6E6A61"/>
      <sz val="10"/>
    </font>
    <font>
      <name val="Calibri"/>
      <family val="2"/>
      <i val="1"/>
      <color rgb="FF6E6A61"/>
      <sz val="9"/>
    </font>
    <font>
      <name val="Calibri"/>
      <family val="2"/>
      <b val="1"/>
      <color rgb="FF0B163C"/>
      <sz val="11"/>
    </font>
    <font>
      <name val="Calibri"/>
      <family val="2"/>
      <b val="1"/>
      <color rgb="FF0B163C"/>
      <sz val="12"/>
    </font>
    <font>
      <name val="Calibri"/>
      <family val="2"/>
      <b val="1"/>
      <color rgb="FF3A243A"/>
      <sz val="9"/>
    </font>
    <font>
      <name val="Calibri"/>
      <family val="2"/>
      <b val="1"/>
      <color rgb="FF006633"/>
      <sz val="11"/>
    </font>
    <font>
      <name val="Calibri"/>
      <family val="2"/>
      <b val="1"/>
      <color rgb="FF006633"/>
      <sz val="10"/>
    </font>
    <font>
      <name val="Calibri"/>
      <family val="2"/>
      <b val="1"/>
      <i val="1"/>
      <color rgb="FF6E6A61"/>
      <sz val="9"/>
    </font>
    <font>
      <name val="Calibri"/>
      <family val="2"/>
      <i val="1"/>
      <color rgb="FF6E6A61"/>
      <sz val="8"/>
    </font>
    <font>
      <name val="Calibri"/>
      <family val="2"/>
      <color rgb="FF6E6A61"/>
      <sz val="9"/>
    </font>
    <font>
      <name val="Calibri"/>
      <family val="2"/>
      <color rgb="FF0B163C"/>
      <sz val="9"/>
    </font>
    <font>
      <name val="Calibri"/>
      <family val="2"/>
      <b val="1"/>
      <sz val="14"/>
    </font>
    <font>
      <name val="Calibri"/>
      <family val="2"/>
      <i val="1"/>
      <color rgb="FF666666"/>
      <sz val="10"/>
    </font>
    <font>
      <name val="Calibri"/>
      <family val="2"/>
      <b val="1"/>
      <sz val="10"/>
    </font>
    <font>
      <name val="Calibri"/>
      <family val="2"/>
      <sz val="10"/>
    </font>
    <font>
      <name val="Calibri"/>
      <family val="2"/>
      <color rgb="FF0000FF"/>
      <sz val="10"/>
    </font>
    <font>
      <name val="Calibri"/>
      <family val="2"/>
      <b val="1"/>
      <color rgb="FFFFFFFF"/>
      <sz val="14"/>
    </font>
    <font>
      <name val="Calibri"/>
      <family val="2"/>
      <i val="1"/>
      <color rgb="FF6E6A61"/>
      <sz val="9"/>
    </font>
    <font>
      <name val="Calibri"/>
      <family val="2"/>
      <b val="1"/>
      <color rgb="FF0B163C"/>
      <sz val="11"/>
    </font>
    <font>
      <name val="Calibri"/>
      <family val="2"/>
      <sz val="10"/>
    </font>
    <font>
      <name val="Calibri"/>
      <family val="2"/>
      <b val="1"/>
      <sz val="10"/>
    </font>
    <font>
      <name val="Calibri"/>
      <family val="2"/>
      <i val="1"/>
      <color rgb="FF6E6A61"/>
      <sz val="9"/>
    </font>
    <font>
      <name val="Calibri"/>
      <family val="2"/>
      <b val="1"/>
      <color rgb="FF0B163C"/>
      <sz val="11"/>
    </font>
    <font>
      <name val="Calibri"/>
      <family val="2"/>
      <sz val="10"/>
    </font>
    <font>
      <name val="Calibri"/>
      <family val="2"/>
      <b val="1"/>
      <sz val="10"/>
    </font>
    <font>
      <name val="Calibri"/>
      <family val="2"/>
      <b val="1"/>
      <color rgb="FF0B163C"/>
      <sz val="11"/>
    </font>
    <font>
      <name val="Calibri"/>
      <family val="2"/>
      <sz val="10"/>
    </font>
    <font>
      <name val="Calibri"/>
      <family val="2"/>
      <b val="1"/>
      <color rgb="FFFFFFFF"/>
      <sz val="14"/>
    </font>
    <font>
      <name val="Calibri"/>
      <family val="2"/>
      <i val="1"/>
      <color rgb="FF6E6A61"/>
      <sz val="9"/>
    </font>
    <font>
      <name val="Calibri"/>
      <family val="2"/>
      <b val="1"/>
      <color rgb="FF0B163C"/>
      <sz val="11"/>
    </font>
    <font>
      <name val="Calibri"/>
      <family val="2"/>
      <sz val="10"/>
    </font>
    <font>
      <name val="Calibri"/>
      <family val="2"/>
      <b val="1"/>
      <sz val="10"/>
    </font>
    <font>
      <name val="Calibri"/>
      <family val="2"/>
      <b val="1"/>
      <color rgb="FF0B163C"/>
      <sz val="12"/>
    </font>
    <font>
      <name val="Calibri"/>
      <family val="2"/>
      <i val="1"/>
      <color rgb="FF6E6A61"/>
      <sz val="9"/>
    </font>
    <font>
      <name val="Calibri"/>
      <b val="1"/>
      <color rgb="00FFFFFF"/>
      <sz val="11"/>
    </font>
    <font>
      <name val="Calibri"/>
      <i val="1"/>
      <color rgb="006E6A61"/>
      <sz val="9"/>
    </font>
    <font>
      <name val="Calibri"/>
      <b val="1"/>
      <color rgb="000B163C"/>
      <sz val="11"/>
    </font>
    <font>
      <name val="Calibri"/>
      <b val="1"/>
      <color rgb="00C9A557"/>
      <sz val="11"/>
    </font>
    <font>
      <name val="Calibri"/>
      <b val="1"/>
      <color rgb="000B163C"/>
      <sz val="18"/>
    </font>
    <font>
      <name val="Calibri"/>
      <i val="1"/>
      <color rgb="006E6A61"/>
      <sz val="11"/>
    </font>
    <font>
      <name val="Calibri"/>
      <sz val="10"/>
    </font>
    <font>
      <name val="Calibri"/>
      <i val="1"/>
      <color rgb="006E6A61"/>
      <sz val="10"/>
    </font>
    <font>
      <name val="Calibri"/>
      <color rgb="000B163C"/>
      <sz val="10"/>
    </font>
  </fonts>
  <fills count="34">
    <fill>
      <patternFill/>
    </fill>
    <fill>
      <patternFill patternType="gray125"/>
    </fill>
    <fill>
      <patternFill patternType="solid">
        <fgColor rgb="FF1F3864"/>
        <bgColor rgb="FF1F3A5F"/>
      </patternFill>
    </fill>
    <fill>
      <patternFill patternType="solid">
        <fgColor rgb="FF2E5090"/>
        <bgColor rgb="FF1F4E79"/>
      </patternFill>
    </fill>
    <fill>
      <patternFill patternType="solid">
        <fgColor rgb="FFD6E4F0"/>
        <bgColor rgb="FFE2EFDA"/>
      </patternFill>
    </fill>
    <fill>
      <patternFill patternType="solid">
        <fgColor rgb="FFC6EFCE"/>
        <bgColor rgb="FFE2EFDA"/>
      </patternFill>
    </fill>
    <fill>
      <patternFill patternType="solid">
        <fgColor rgb="FFFFFF00"/>
        <bgColor rgb="FFFFFF00"/>
      </patternFill>
    </fill>
    <fill>
      <patternFill patternType="solid">
        <fgColor rgb="FF1F3A5F"/>
        <bgColor rgb="FF1F3864"/>
      </patternFill>
    </fill>
    <fill>
      <patternFill patternType="solid">
        <fgColor rgb="FFFFF2CC"/>
        <bgColor rgb="FFF2F2F2"/>
      </patternFill>
    </fill>
    <fill>
      <patternFill patternType="solid">
        <fgColor rgb="FF1B2A4A"/>
        <bgColor rgb="FF1F3864"/>
      </patternFill>
    </fill>
    <fill>
      <patternFill patternType="solid">
        <fgColor rgb="FFE2EFDA"/>
        <bgColor rgb="FFF2F2F2"/>
      </patternFill>
    </fill>
    <fill>
      <patternFill patternType="solid">
        <fgColor rgb="FFF2F2F2"/>
        <bgColor rgb="FFE2EFDA"/>
      </patternFill>
    </fill>
    <fill>
      <patternFill patternType="solid">
        <fgColor rgb="FF0B163C"/>
      </patternFill>
    </fill>
    <fill>
      <patternFill patternType="solid">
        <fgColor rgb="FFF4F2ED"/>
      </patternFill>
    </fill>
    <fill>
      <patternFill patternType="solid">
        <fgColor rgb="FFFFF4B8"/>
      </patternFill>
    </fill>
    <fill>
      <patternFill patternType="solid">
        <fgColor rgb="FFD9E8D6"/>
      </patternFill>
    </fill>
    <fill>
      <patternFill patternType="solid">
        <fgColor rgb="FFEAE6DC"/>
      </patternFill>
    </fill>
    <fill>
      <patternFill patternType="solid">
        <fgColor rgb="FFD6E4F0"/>
        <bgColor rgb="FFD6E4F0"/>
      </patternFill>
    </fill>
    <fill>
      <patternFill patternType="solid">
        <fgColor rgb="FFE2EFDA"/>
        <bgColor rgb="FFE2EFDA"/>
      </patternFill>
    </fill>
    <fill>
      <patternFill patternType="solid">
        <fgColor rgb="FFF2F2F2"/>
        <bgColor rgb="FFF2F2F2"/>
      </patternFill>
    </fill>
    <fill>
      <patternFill patternType="solid">
        <fgColor rgb="FFFFF2CC"/>
        <bgColor rgb="FFFFF2CC"/>
      </patternFill>
    </fill>
    <fill>
      <patternFill patternType="solid">
        <fgColor rgb="FFFCE4D6"/>
        <bgColor rgb="FFFCE4D6"/>
      </patternFill>
    </fill>
    <fill>
      <patternFill patternType="solid">
        <fgColor rgb="FFE7E6E6"/>
        <bgColor rgb="FFE7E6E6"/>
      </patternFill>
    </fill>
    <fill>
      <patternFill patternType="solid">
        <fgColor rgb="FFE4D9F0"/>
      </patternFill>
    </fill>
    <fill>
      <patternFill patternType="solid">
        <fgColor rgb="FFF2F2F2"/>
      </patternFill>
    </fill>
    <fill>
      <patternFill patternType="solid">
        <fgColor rgb="FFFFF2CC"/>
      </patternFill>
    </fill>
    <fill>
      <patternFill patternType="solid">
        <fgColor rgb="FFFCE4D6"/>
      </patternFill>
    </fill>
    <fill>
      <patternFill patternType="solid">
        <fgColor rgb="FFE7E6E6"/>
      </patternFill>
    </fill>
    <fill>
      <patternFill patternType="solid">
        <fgColor rgb="FF0B163C"/>
      </patternFill>
    </fill>
    <fill>
      <patternFill patternType="solid">
        <fgColor rgb="FF0B163C"/>
      </patternFill>
    </fill>
    <fill>
      <patternFill patternType="solid">
        <fgColor rgb="FFFFF8E0"/>
      </patternFill>
    </fill>
    <fill>
      <patternFill patternType="solid">
        <fgColor rgb="000B163C"/>
        <bgColor rgb="000B163C"/>
      </patternFill>
    </fill>
    <fill>
      <patternFill patternType="solid">
        <fgColor rgb="00F4F2ED"/>
        <bgColor rgb="00F4F2ED"/>
      </patternFill>
    </fill>
    <fill>
      <patternFill patternType="solid">
        <fgColor rgb="00FFF8E0"/>
        <bgColor rgb="00FFF8E0"/>
      </patternFill>
    </fill>
  </fills>
  <borders count="9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rgb="FF999999"/>
      </bottom>
      <diagonal/>
    </border>
    <border>
      <left/>
      <right/>
      <top/>
      <bottom style="double">
        <color auto="1"/>
      </bottom>
      <diagonal/>
    </border>
    <border>
      <left style="thin">
        <color rgb="FF0B163C"/>
      </left>
      <right style="thin">
        <color rgb="FF0B163C"/>
      </right>
      <top style="thin">
        <color rgb="FF0B163C"/>
      </top>
      <bottom style="thin">
        <color rgb="FF0B163C"/>
      </bottom>
      <diagonal/>
    </border>
    <border>
      <left/>
      <right/>
      <top style="thin">
        <color rgb="FF0B163C"/>
      </top>
      <bottom/>
      <diagonal/>
    </border>
    <border>
      <left/>
      <right/>
      <top/>
      <bottom style="thin">
        <color rgb="FF0B163C"/>
      </bottom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287">
    <xf numFmtId="0" fontId="0" fillId="0" borderId="0" pivotButton="0" quotePrefix="0" xfId="0"/>
    <xf numFmtId="0" fontId="0" fillId="2" borderId="0" pivotButton="0" quotePrefix="0" xfId="0"/>
    <xf numFmtId="0" fontId="1" fillId="2" borderId="0" pivotButton="0" quotePrefix="0" xfId="0"/>
    <xf numFmtId="0" fontId="2" fillId="2" borderId="0" pivotButton="0" quotePrefix="0" xfId="0"/>
    <xf numFmtId="0" fontId="1" fillId="3" borderId="0" pivotButton="0" quotePrefix="0" xfId="0"/>
    <xf numFmtId="0" fontId="0" fillId="3" borderId="0" pivotButton="0" quotePrefix="0" xfId="0"/>
    <xf numFmtId="0" fontId="2" fillId="0" borderId="1" pivotButton="0" quotePrefix="0" xfId="0"/>
    <xf numFmtId="164" fontId="2" fillId="0" borderId="1" applyAlignment="1" pivotButton="0" quotePrefix="0" xfId="0">
      <alignment horizontal="center"/>
    </xf>
    <xf numFmtId="165" fontId="2" fillId="0" borderId="1" applyAlignment="1" pivotButton="0" quotePrefix="0" xfId="0">
      <alignment horizontal="center"/>
    </xf>
    <xf numFmtId="164" fontId="3" fillId="0" borderId="1" applyAlignment="1" pivotButton="0" quotePrefix="0" xfId="0">
      <alignment horizontal="center"/>
    </xf>
    <xf numFmtId="166" fontId="2" fillId="0" borderId="1" applyAlignment="1" pivotButton="0" quotePrefix="0" xfId="0">
      <alignment horizontal="center"/>
    </xf>
    <xf numFmtId="165" fontId="3" fillId="0" borderId="1" applyAlignment="1" pivotButton="0" quotePrefix="0" xfId="0">
      <alignment horizontal="center"/>
    </xf>
    <xf numFmtId="167" fontId="2" fillId="0" borderId="1" applyAlignment="1" pivotButton="0" quotePrefix="0" xfId="0">
      <alignment horizontal="center"/>
    </xf>
    <xf numFmtId="0" fontId="4" fillId="4" borderId="1" pivotButton="0" quotePrefix="0" xfId="0"/>
    <xf numFmtId="0" fontId="5" fillId="4" borderId="1" applyAlignment="1" pivotButton="0" quotePrefix="0" xfId="0">
      <alignment horizontal="center"/>
    </xf>
    <xf numFmtId="0" fontId="3" fillId="5" borderId="1" applyAlignment="1" pivotButton="0" quotePrefix="0" xfId="0">
      <alignment horizontal="center"/>
    </xf>
    <xf numFmtId="0" fontId="6" fillId="0" borderId="0" applyAlignment="1" pivotButton="0" quotePrefix="0" xfId="0">
      <alignment horizontal="right"/>
    </xf>
    <xf numFmtId="0" fontId="3" fillId="0" borderId="1" pivotButton="0" quotePrefix="0" xfId="0"/>
    <xf numFmtId="165" fontId="7" fillId="0" borderId="1" applyAlignment="1" pivotButton="0" quotePrefix="0" xfId="0">
      <alignment horizontal="center"/>
    </xf>
    <xf numFmtId="167" fontId="3" fillId="0" borderId="1" applyAlignment="1" pivotButton="0" quotePrefix="0" xfId="0">
      <alignment horizontal="center"/>
    </xf>
    <xf numFmtId="3" fontId="2" fillId="0" borderId="1" applyAlignment="1" pivotButton="0" quotePrefix="0" xfId="0">
      <alignment horizontal="center"/>
    </xf>
    <xf numFmtId="0" fontId="2" fillId="0" borderId="1" applyAlignment="1" pivotButton="0" quotePrefix="0" xfId="0">
      <alignment horizontal="center"/>
    </xf>
    <xf numFmtId="168" fontId="2" fillId="0" borderId="1" applyAlignment="1" pivotButton="0" quotePrefix="0" xfId="0">
      <alignment horizontal="center"/>
    </xf>
    <xf numFmtId="165" fontId="8" fillId="0" borderId="1" applyAlignment="1" pivotButton="0" quotePrefix="0" xfId="0">
      <alignment horizontal="center"/>
    </xf>
    <xf numFmtId="164" fontId="8" fillId="0" borderId="1" applyAlignment="1" pivotButton="0" quotePrefix="0" xfId="0">
      <alignment horizontal="center"/>
    </xf>
    <xf numFmtId="0" fontId="9" fillId="0" borderId="0" pivotButton="0" quotePrefix="0" xfId="0"/>
    <xf numFmtId="0" fontId="10" fillId="0" borderId="0" pivotButton="0" quotePrefix="0" xfId="0"/>
    <xf numFmtId="0" fontId="11" fillId="0" borderId="0" pivotButton="0" quotePrefix="0" xfId="0"/>
    <xf numFmtId="0" fontId="14" fillId="6" borderId="2" pivotButton="0" quotePrefix="0" xfId="0"/>
    <xf numFmtId="0" fontId="15" fillId="0" borderId="0" pivotButton="0" quotePrefix="0" xfId="0"/>
    <xf numFmtId="0" fontId="16" fillId="4" borderId="2" pivotButton="0" quotePrefix="0" xfId="0"/>
    <xf numFmtId="0" fontId="14" fillId="0" borderId="0" pivotButton="0" quotePrefix="0" xfId="0"/>
    <xf numFmtId="0" fontId="17" fillId="0" borderId="0" pivotButton="0" quotePrefix="0" xfId="0"/>
    <xf numFmtId="0" fontId="18" fillId="0" borderId="0" pivotButton="0" quotePrefix="0" xfId="0"/>
    <xf numFmtId="0" fontId="13" fillId="0" borderId="0" pivotButton="0" quotePrefix="0" xfId="0"/>
    <xf numFmtId="0" fontId="19" fillId="7" borderId="0" applyAlignment="1" pivotButton="0" quotePrefix="0" xfId="0">
      <alignment horizontal="center" vertical="center"/>
    </xf>
    <xf numFmtId="164" fontId="19" fillId="7" borderId="0" applyAlignment="1" pivotButton="0" quotePrefix="0" xfId="0">
      <alignment horizontal="center" vertical="center"/>
    </xf>
    <xf numFmtId="165" fontId="13" fillId="0" borderId="0" pivotButton="0" quotePrefix="0" xfId="0"/>
    <xf numFmtId="165" fontId="12" fillId="0" borderId="0" applyAlignment="1" pivotButton="0" quotePrefix="0" xfId="0">
      <alignment horizontal="center"/>
    </xf>
    <xf numFmtId="165" fontId="12" fillId="8" borderId="0" applyAlignment="1" pivotButton="0" quotePrefix="0" xfId="0">
      <alignment horizontal="center"/>
    </xf>
    <xf numFmtId="167" fontId="13" fillId="0" borderId="0" pivotButton="0" quotePrefix="0" xfId="0"/>
    <xf numFmtId="167" fontId="12" fillId="0" borderId="0" applyAlignment="1" pivotButton="0" quotePrefix="0" xfId="0">
      <alignment horizontal="center"/>
    </xf>
    <xf numFmtId="169" fontId="13" fillId="0" borderId="0" pivotButton="0" quotePrefix="0" xfId="0"/>
    <xf numFmtId="0" fontId="19" fillId="7" borderId="0" applyAlignment="1" pivotButton="0" quotePrefix="0" xfId="0">
      <alignment horizontal="center"/>
    </xf>
    <xf numFmtId="170" fontId="19" fillId="7" borderId="0" applyAlignment="1" pivotButton="0" quotePrefix="0" xfId="0">
      <alignment horizontal="center"/>
    </xf>
    <xf numFmtId="164" fontId="12" fillId="0" borderId="0" applyAlignment="1" pivotButton="0" quotePrefix="0" xfId="0">
      <alignment horizontal="center"/>
    </xf>
    <xf numFmtId="164" fontId="12" fillId="8" borderId="0" applyAlignment="1" pivotButton="0" quotePrefix="0" xfId="0">
      <alignment horizontal="center"/>
    </xf>
    <xf numFmtId="164" fontId="20" fillId="8" borderId="0" pivotButton="0" quotePrefix="0" xfId="0"/>
    <xf numFmtId="164" fontId="20" fillId="0" borderId="0" applyAlignment="1" pivotButton="0" quotePrefix="0" xfId="0">
      <alignment horizontal="center"/>
    </xf>
    <xf numFmtId="0" fontId="12" fillId="0" borderId="0" applyAlignment="1" pivotButton="0" quotePrefix="0" xfId="0">
      <alignment horizontal="center"/>
    </xf>
    <xf numFmtId="164" fontId="20" fillId="0" borderId="0" pivotButton="0" quotePrefix="0" xfId="0"/>
    <xf numFmtId="0" fontId="12" fillId="0" borderId="0" pivotButton="0" quotePrefix="0" xfId="0"/>
    <xf numFmtId="0" fontId="19" fillId="9" borderId="0" pivotButton="0" quotePrefix="0" xfId="0"/>
    <xf numFmtId="0" fontId="0" fillId="9" borderId="0" pivotButton="0" quotePrefix="0" xfId="0"/>
    <xf numFmtId="164" fontId="0" fillId="0" borderId="0" pivotButton="0" quotePrefix="0" xfId="0"/>
    <xf numFmtId="171" fontId="21" fillId="0" borderId="0" pivotButton="0" quotePrefix="0" xfId="0"/>
    <xf numFmtId="171" fontId="0" fillId="0" borderId="0" pivotButton="0" quotePrefix="0" xfId="0"/>
    <xf numFmtId="164" fontId="11" fillId="0" borderId="0" pivotButton="0" quotePrefix="0" xfId="0"/>
    <xf numFmtId="164" fontId="21" fillId="0" borderId="0" pivotButton="0" quotePrefix="0" xfId="0"/>
    <xf numFmtId="165" fontId="11" fillId="0" borderId="0" pivotButton="0" quotePrefix="0" xfId="0"/>
    <xf numFmtId="167" fontId="11" fillId="0" borderId="0" pivotButton="0" quotePrefix="0" xfId="0"/>
    <xf numFmtId="169" fontId="0" fillId="0" borderId="0" pivotButton="0" quotePrefix="0" xfId="0"/>
    <xf numFmtId="0" fontId="22" fillId="0" borderId="0" pivotButton="0" quotePrefix="0" xfId="0"/>
    <xf numFmtId="0" fontId="3" fillId="0" borderId="0" pivotButton="0" quotePrefix="0" xfId="0"/>
    <xf numFmtId="0" fontId="23" fillId="0" borderId="0" pivotButton="0" quotePrefix="0" xfId="0"/>
    <xf numFmtId="0" fontId="3" fillId="4" borderId="0" pivotButton="0" quotePrefix="0" xfId="0"/>
    <xf numFmtId="0" fontId="2" fillId="0" borderId="0" pivotButton="0" quotePrefix="0" xfId="0"/>
    <xf numFmtId="164" fontId="24" fillId="6" borderId="0" pivotButton="0" quotePrefix="0" xfId="0"/>
    <xf numFmtId="10" fontId="24" fillId="0" borderId="0" pivotButton="0" quotePrefix="0" xfId="0"/>
    <xf numFmtId="164" fontId="3" fillId="0" borderId="3" pivotButton="0" quotePrefix="0" xfId="0"/>
    <xf numFmtId="165" fontId="24" fillId="6" borderId="0" pivotButton="0" quotePrefix="0" xfId="0"/>
    <xf numFmtId="164" fontId="2" fillId="0" borderId="0" pivotButton="0" quotePrefix="0" xfId="0"/>
    <xf numFmtId="10" fontId="24" fillId="6" borderId="0" pivotButton="0" quotePrefix="0" xfId="0"/>
    <xf numFmtId="1" fontId="24" fillId="6" borderId="0" pivotButton="0" quotePrefix="0" xfId="0"/>
    <xf numFmtId="164" fontId="3" fillId="0" borderId="4" pivotButton="0" quotePrefix="0" xfId="0"/>
    <xf numFmtId="10" fontId="3" fillId="0" borderId="0" pivotButton="0" quotePrefix="0" xfId="0"/>
    <xf numFmtId="3" fontId="24" fillId="0" borderId="0" pivotButton="0" quotePrefix="0" xfId="0"/>
    <xf numFmtId="0" fontId="3" fillId="10" borderId="0" pivotButton="0" quotePrefix="0" xfId="0"/>
    <xf numFmtId="0" fontId="3" fillId="11" borderId="0" applyAlignment="1" pivotButton="0" quotePrefix="0" xfId="0">
      <alignment horizontal="center"/>
    </xf>
    <xf numFmtId="164" fontId="2" fillId="0" borderId="3" pivotButton="0" quotePrefix="0" xfId="0"/>
    <xf numFmtId="164" fontId="3" fillId="0" borderId="0" pivotButton="0" quotePrefix="0" xfId="0"/>
    <xf numFmtId="0" fontId="25" fillId="0" borderId="0" pivotButton="0" quotePrefix="0" xfId="0"/>
    <xf numFmtId="0" fontId="26" fillId="0" borderId="0" pivotButton="0" quotePrefix="0" xfId="0"/>
    <xf numFmtId="172" fontId="26" fillId="0" borderId="0" pivotButton="0" quotePrefix="0" xfId="0"/>
    <xf numFmtId="10" fontId="2" fillId="0" borderId="0" pivotButton="0" quotePrefix="0" xfId="0"/>
    <xf numFmtId="164" fontId="12" fillId="0" borderId="0" pivotButton="0" quotePrefix="0" xfId="0"/>
    <xf numFmtId="164" fontId="12" fillId="0" borderId="4" pivotButton="0" quotePrefix="0" xfId="0"/>
    <xf numFmtId="164" fontId="13" fillId="0" borderId="0" pivotButton="0" quotePrefix="0" xfId="0"/>
    <xf numFmtId="10" fontId="7" fillId="0" borderId="0" pivotButton="0" quotePrefix="0" xfId="0"/>
    <xf numFmtId="167" fontId="3" fillId="0" borderId="0" pivotButton="0" quotePrefix="0" xfId="0"/>
    <xf numFmtId="165" fontId="2" fillId="0" borderId="0" pivotButton="0" quotePrefix="0" xfId="0"/>
    <xf numFmtId="165" fontId="24" fillId="0" borderId="0" pivotButton="0" quotePrefix="0" xfId="0"/>
    <xf numFmtId="1" fontId="24" fillId="0" borderId="0" pivotButton="0" quotePrefix="0" xfId="0"/>
    <xf numFmtId="3" fontId="2" fillId="0" borderId="0" pivotButton="0" quotePrefix="0" xfId="0"/>
    <xf numFmtId="168" fontId="24" fillId="6" borderId="0" pivotButton="0" quotePrefix="0" xfId="0"/>
    <xf numFmtId="0" fontId="3" fillId="0" borderId="0" applyAlignment="1" pivotButton="0" quotePrefix="0" xfId="0">
      <alignment horizontal="center"/>
    </xf>
    <xf numFmtId="165" fontId="27" fillId="6" borderId="0" pivotButton="0" quotePrefix="0" xfId="0"/>
    <xf numFmtId="164" fontId="27" fillId="0" borderId="4" pivotButton="0" quotePrefix="0" xfId="0"/>
    <xf numFmtId="164" fontId="21" fillId="0" borderId="3" pivotButton="0" quotePrefix="0" xfId="0"/>
    <xf numFmtId="0" fontId="3" fillId="8" borderId="0" pivotButton="0" quotePrefix="0" xfId="0"/>
    <xf numFmtId="164" fontId="27" fillId="0" borderId="0" pivotButton="0" quotePrefix="0" xfId="0"/>
    <xf numFmtId="3" fontId="24" fillId="6" borderId="0" pivotButton="0" quotePrefix="0" xfId="0"/>
    <xf numFmtId="173" fontId="24" fillId="6" borderId="0" pivotButton="0" quotePrefix="0" xfId="0"/>
    <xf numFmtId="3" fontId="2" fillId="0" borderId="3" pivotButton="0" quotePrefix="0" xfId="0"/>
    <xf numFmtId="3" fontId="3" fillId="0" borderId="3" pivotButton="0" quotePrefix="0" xfId="0"/>
    <xf numFmtId="173" fontId="24" fillId="0" borderId="0" pivotButton="0" quotePrefix="0" xfId="0"/>
    <xf numFmtId="165" fontId="3" fillId="0" borderId="0" pivotButton="0" quotePrefix="0" xfId="0"/>
    <xf numFmtId="0" fontId="23" fillId="0" borderId="0" applyAlignment="1" pivotButton="0" quotePrefix="0" xfId="0">
      <alignment horizontal="center"/>
    </xf>
    <xf numFmtId="165" fontId="8" fillId="0" borderId="0" pivotButton="0" quotePrefix="0" xfId="0"/>
    <xf numFmtId="164" fontId="8" fillId="0" borderId="0" pivotButton="0" quotePrefix="0" xfId="0"/>
    <xf numFmtId="174" fontId="24" fillId="0" borderId="0" pivotButton="0" quotePrefix="0" xfId="0"/>
    <xf numFmtId="167" fontId="24" fillId="6" borderId="0" pivotButton="0" quotePrefix="0" xfId="0"/>
    <xf numFmtId="165" fontId="27" fillId="0" borderId="0" pivotButton="0" quotePrefix="0" xfId="0"/>
    <xf numFmtId="167" fontId="2" fillId="0" borderId="0" pivotButton="0" quotePrefix="0" xfId="0"/>
    <xf numFmtId="175" fontId="12" fillId="0" borderId="0" applyAlignment="1" pivotButton="0" quotePrefix="0" xfId="0">
      <alignment horizontal="center"/>
    </xf>
    <xf numFmtId="0" fontId="28" fillId="0" borderId="0" pivotButton="0" quotePrefix="0" xfId="0"/>
    <xf numFmtId="0" fontId="29" fillId="0" borderId="0" applyAlignment="1" pivotButton="0" quotePrefix="0" xfId="0">
      <alignment horizontal="center"/>
    </xf>
    <xf numFmtId="2" fontId="0" fillId="0" borderId="0" pivotButton="0" quotePrefix="0" xfId="0"/>
    <xf numFmtId="10" fontId="0" fillId="0" borderId="0" pivotButton="0" quotePrefix="0" xfId="0"/>
    <xf numFmtId="165" fontId="0" fillId="0" borderId="0" pivotButton="0" quotePrefix="0" xfId="0"/>
    <xf numFmtId="175" fontId="0" fillId="0" borderId="0" pivotButton="0" quotePrefix="0" xfId="0"/>
    <xf numFmtId="175" fontId="12" fillId="8" borderId="0" applyAlignment="1" pivotButton="0" quotePrefix="0" xfId="0">
      <alignment horizontal="center"/>
    </xf>
    <xf numFmtId="0" fontId="33" fillId="0" borderId="0" applyAlignment="1" pivotButton="0" quotePrefix="0" xfId="0">
      <alignment horizontal="left" vertical="center"/>
    </xf>
    <xf numFmtId="0" fontId="33" fillId="0" borderId="0" pivotButton="0" quotePrefix="0" xfId="0"/>
    <xf numFmtId="0" fontId="37" fillId="0" borderId="0" pivotButton="0" quotePrefix="0" xfId="0"/>
    <xf numFmtId="0" fontId="38" fillId="0" borderId="0" pivotButton="0" quotePrefix="0" xfId="0"/>
    <xf numFmtId="176" fontId="39" fillId="14" borderId="5" applyAlignment="1" pivotButton="0" quotePrefix="0" xfId="0">
      <alignment horizontal="right" vertical="center"/>
    </xf>
    <xf numFmtId="10" fontId="38" fillId="0" borderId="0" applyAlignment="1" pivotButton="0" quotePrefix="0" xfId="0">
      <alignment horizontal="right" vertical="center"/>
    </xf>
    <xf numFmtId="0" fontId="40" fillId="0" borderId="0" pivotButton="0" quotePrefix="0" xfId="0"/>
    <xf numFmtId="0" fontId="31" fillId="0" borderId="0" pivotButton="0" quotePrefix="0" xfId="0"/>
    <xf numFmtId="10" fontId="0" fillId="14" borderId="5" applyAlignment="1" pivotButton="0" quotePrefix="0" xfId="0">
      <alignment horizontal="right" vertical="center"/>
    </xf>
    <xf numFmtId="176" fontId="38" fillId="0" borderId="0" applyAlignment="1" pivotButton="0" quotePrefix="0" xfId="0">
      <alignment horizontal="right" vertical="center"/>
    </xf>
    <xf numFmtId="177" fontId="38" fillId="0" borderId="0" applyAlignment="1" pivotButton="0" quotePrefix="0" xfId="0">
      <alignment horizontal="right" vertical="center"/>
    </xf>
    <xf numFmtId="165" fontId="38" fillId="0" borderId="0" applyAlignment="1" pivotButton="0" quotePrefix="0" xfId="0">
      <alignment horizontal="right" vertical="center"/>
    </xf>
    <xf numFmtId="1" fontId="0" fillId="14" borderId="5" applyAlignment="1" pivotButton="0" quotePrefix="0" xfId="0">
      <alignment horizontal="right" vertical="center"/>
    </xf>
    <xf numFmtId="176" fontId="38" fillId="15" borderId="0" applyAlignment="1" pivotButton="0" quotePrefix="0" xfId="0">
      <alignment horizontal="right" vertical="center"/>
    </xf>
    <xf numFmtId="177" fontId="38" fillId="15" borderId="0" applyAlignment="1" pivotButton="0" quotePrefix="0" xfId="0">
      <alignment horizontal="right" vertical="center"/>
    </xf>
    <xf numFmtId="165" fontId="0" fillId="14" borderId="5" applyAlignment="1" pivotButton="0" quotePrefix="0" xfId="0">
      <alignment horizontal="right" vertical="center"/>
    </xf>
    <xf numFmtId="165" fontId="38" fillId="15" borderId="0" applyAlignment="1" pivotButton="0" quotePrefix="0" xfId="0">
      <alignment horizontal="right" vertical="center"/>
    </xf>
    <xf numFmtId="0" fontId="40" fillId="0" borderId="0" applyAlignment="1" pivotButton="0" quotePrefix="0" xfId="0">
      <alignment horizontal="right" vertical="center"/>
    </xf>
    <xf numFmtId="176" fontId="31" fillId="0" borderId="0" applyAlignment="1" pivotButton="0" quotePrefix="0" xfId="0">
      <alignment horizontal="right" vertical="center"/>
    </xf>
    <xf numFmtId="165" fontId="31" fillId="0" borderId="0" applyAlignment="1" pivotButton="0" quotePrefix="0" xfId="0">
      <alignment horizontal="right" vertical="center"/>
    </xf>
    <xf numFmtId="0" fontId="32" fillId="0" borderId="0" pivotButton="0" quotePrefix="0" xfId="0"/>
    <xf numFmtId="176" fontId="41" fillId="15" borderId="0" applyAlignment="1" pivotButton="0" quotePrefix="0" xfId="0">
      <alignment horizontal="right" vertical="center"/>
    </xf>
    <xf numFmtId="178" fontId="42" fillId="0" borderId="0" applyAlignment="1" pivotButton="0" quotePrefix="0" xfId="0">
      <alignment horizontal="right" vertical="center"/>
    </xf>
    <xf numFmtId="0" fontId="43" fillId="0" borderId="0" pivotButton="0" quotePrefix="0" xfId="0"/>
    <xf numFmtId="176" fontId="38" fillId="0" borderId="6" applyAlignment="1" pivotButton="0" quotePrefix="0" xfId="0">
      <alignment horizontal="right" vertical="center"/>
    </xf>
    <xf numFmtId="176" fontId="41" fillId="15" borderId="6" applyAlignment="1" pivotButton="0" quotePrefix="0" xfId="0">
      <alignment horizontal="right" vertical="center"/>
    </xf>
    <xf numFmtId="165" fontId="0" fillId="0" borderId="0" applyAlignment="1" pivotButton="0" quotePrefix="0" xfId="0">
      <alignment horizontal="right" vertical="center"/>
    </xf>
    <xf numFmtId="165" fontId="32" fillId="0" borderId="0" applyAlignment="1" pivotButton="0" quotePrefix="0" xfId="0">
      <alignment horizontal="right" vertical="center"/>
    </xf>
    <xf numFmtId="179" fontId="42" fillId="0" borderId="0" applyAlignment="1" pivotButton="0" quotePrefix="0" xfId="0">
      <alignment horizontal="right" vertical="center"/>
    </xf>
    <xf numFmtId="0" fontId="34" fillId="0" borderId="0" pivotButton="0" quotePrefix="0" xfId="0"/>
    <xf numFmtId="0" fontId="33" fillId="0" borderId="7" applyAlignment="1" pivotButton="0" quotePrefix="0" xfId="0">
      <alignment horizontal="center" vertical="center"/>
    </xf>
    <xf numFmtId="0" fontId="31" fillId="0" borderId="0" applyAlignment="1" pivotButton="0" quotePrefix="0" xfId="0">
      <alignment horizontal="left" vertical="center"/>
    </xf>
    <xf numFmtId="0" fontId="32" fillId="0" borderId="0" applyAlignment="1" pivotButton="0" quotePrefix="0" xfId="0">
      <alignment horizontal="left" vertical="center"/>
    </xf>
    <xf numFmtId="176" fontId="32" fillId="0" borderId="0" applyAlignment="1" pivotButton="0" quotePrefix="0" xfId="0">
      <alignment horizontal="right" vertical="center"/>
    </xf>
    <xf numFmtId="176" fontId="32" fillId="0" borderId="0" pivotButton="0" quotePrefix="0" xfId="0"/>
    <xf numFmtId="165" fontId="32" fillId="0" borderId="0" pivotButton="0" quotePrefix="0" xfId="0"/>
    <xf numFmtId="165" fontId="42" fillId="0" borderId="0" pivotButton="0" quotePrefix="0" xfId="0"/>
    <xf numFmtId="0" fontId="45" fillId="0" borderId="0" pivotButton="0" quotePrefix="0" xfId="0"/>
    <xf numFmtId="176" fontId="45" fillId="0" borderId="0" applyAlignment="1" pivotButton="0" quotePrefix="0" xfId="0">
      <alignment horizontal="right" vertical="center"/>
    </xf>
    <xf numFmtId="0" fontId="46" fillId="0" borderId="0" pivotButton="0" quotePrefix="0" xfId="0"/>
    <xf numFmtId="176" fontId="46" fillId="0" borderId="0" applyAlignment="1" pivotButton="0" quotePrefix="0" xfId="0">
      <alignment horizontal="right" vertical="center"/>
    </xf>
    <xf numFmtId="176" fontId="42" fillId="0" borderId="0" pivotButton="0" quotePrefix="0" xfId="0"/>
    <xf numFmtId="179" fontId="42" fillId="0" borderId="0" pivotButton="0" quotePrefix="0" xfId="0"/>
    <xf numFmtId="10" fontId="32" fillId="0" borderId="0" applyAlignment="1" pivotButton="0" quotePrefix="0" xfId="0">
      <alignment horizontal="right" vertical="center"/>
    </xf>
    <xf numFmtId="3" fontId="32" fillId="0" borderId="0" applyAlignment="1" pivotButton="0" quotePrefix="0" xfId="0">
      <alignment horizontal="right" vertical="center"/>
    </xf>
    <xf numFmtId="176" fontId="0" fillId="0" borderId="0" applyAlignment="1" pivotButton="0" quotePrefix="0" xfId="0">
      <alignment horizontal="right" vertical="center"/>
    </xf>
    <xf numFmtId="0" fontId="34" fillId="0" borderId="0" applyAlignment="1" pivotButton="0" quotePrefix="0" xfId="0">
      <alignment horizontal="right" vertical="center"/>
    </xf>
    <xf numFmtId="0" fontId="47" fillId="0" borderId="0" pivotButton="0" quotePrefix="0" xfId="0"/>
    <xf numFmtId="0" fontId="48" fillId="0" borderId="0" pivotButton="0" quotePrefix="0" xfId="0"/>
    <xf numFmtId="0" fontId="49" fillId="17" borderId="0" pivotButton="0" quotePrefix="0" xfId="0"/>
    <xf numFmtId="0" fontId="50" fillId="0" borderId="0" pivotButton="0" quotePrefix="0" xfId="0"/>
    <xf numFmtId="164" fontId="50" fillId="0" borderId="0" pivotButton="0" quotePrefix="0" xfId="0"/>
    <xf numFmtId="10" fontId="50" fillId="0" borderId="0" pivotButton="0" quotePrefix="0" xfId="0"/>
    <xf numFmtId="174" fontId="50" fillId="0" borderId="0" pivotButton="0" quotePrefix="0" xfId="0"/>
    <xf numFmtId="1" fontId="50" fillId="0" borderId="0" pivotButton="0" quotePrefix="0" xfId="0"/>
    <xf numFmtId="3" fontId="50" fillId="0" borderId="0" pivotButton="0" quotePrefix="0" xfId="0"/>
    <xf numFmtId="0" fontId="49" fillId="18" borderId="0" pivotButton="0" quotePrefix="0" xfId="0"/>
    <xf numFmtId="0" fontId="49" fillId="19" borderId="0" applyAlignment="1" pivotButton="0" quotePrefix="0" xfId="0">
      <alignment horizontal="center"/>
    </xf>
    <xf numFmtId="0" fontId="49" fillId="0" borderId="0" pivotButton="0" quotePrefix="0" xfId="0"/>
    <xf numFmtId="164" fontId="49" fillId="0" borderId="0" pivotButton="0" quotePrefix="0" xfId="0"/>
    <xf numFmtId="175" fontId="50" fillId="0" borderId="0" pivotButton="0" quotePrefix="0" xfId="0"/>
    <xf numFmtId="0" fontId="49" fillId="20" borderId="0" pivotButton="0" quotePrefix="0" xfId="0"/>
    <xf numFmtId="164" fontId="51" fillId="6" borderId="0" pivotButton="0" quotePrefix="0" xfId="0"/>
    <xf numFmtId="10" fontId="49" fillId="0" borderId="0" pivotButton="0" quotePrefix="0" xfId="0"/>
    <xf numFmtId="0" fontId="49" fillId="21" borderId="0" pivotButton="0" quotePrefix="0" xfId="0"/>
    <xf numFmtId="10" fontId="51" fillId="6" borderId="0" pivotButton="0" quotePrefix="0" xfId="0"/>
    <xf numFmtId="0" fontId="49" fillId="22" borderId="0" pivotButton="0" quotePrefix="0" xfId="0"/>
    <xf numFmtId="0" fontId="49" fillId="22" borderId="0" applyAlignment="1" pivotButton="0" quotePrefix="0" xfId="0">
      <alignment horizontal="left"/>
    </xf>
    <xf numFmtId="0" fontId="49" fillId="22" borderId="0" applyAlignment="1" pivotButton="0" quotePrefix="0" xfId="0">
      <alignment horizontal="center"/>
    </xf>
    <xf numFmtId="0" fontId="50" fillId="0" borderId="0" applyAlignment="1" pivotButton="0" quotePrefix="0" xfId="0">
      <alignment horizontal="center"/>
    </xf>
    <xf numFmtId="164" fontId="50" fillId="0" borderId="0" applyAlignment="1" pivotButton="0" quotePrefix="0" xfId="0">
      <alignment horizontal="right"/>
    </xf>
    <xf numFmtId="10" fontId="50" fillId="0" borderId="0" applyAlignment="1" pivotButton="0" quotePrefix="0" xfId="0">
      <alignment horizontal="right"/>
    </xf>
    <xf numFmtId="10" fontId="49" fillId="0" borderId="0" applyAlignment="1" pivotButton="0" quotePrefix="0" xfId="0">
      <alignment horizontal="right"/>
    </xf>
    <xf numFmtId="175" fontId="49" fillId="0" borderId="0" applyAlignment="1" pivotButton="0" quotePrefix="0" xfId="0">
      <alignment horizontal="right"/>
    </xf>
    <xf numFmtId="0" fontId="49" fillId="23" borderId="0" pivotButton="0" quotePrefix="0" xfId="0"/>
    <xf numFmtId="0" fontId="49" fillId="24" borderId="0" applyAlignment="1" pivotButton="0" quotePrefix="0" xfId="0">
      <alignment horizontal="center"/>
    </xf>
    <xf numFmtId="0" fontId="49" fillId="25" borderId="0" pivotButton="0" quotePrefix="0" xfId="0"/>
    <xf numFmtId="175" fontId="49" fillId="0" borderId="0" pivotButton="0" quotePrefix="0" xfId="0"/>
    <xf numFmtId="0" fontId="49" fillId="26" borderId="0" pivotButton="0" quotePrefix="0" xfId="0"/>
    <xf numFmtId="0" fontId="49" fillId="27" borderId="0" pivotButton="0" quotePrefix="0" xfId="0"/>
    <xf numFmtId="0" fontId="49" fillId="27" borderId="0" applyAlignment="1" pivotButton="0" quotePrefix="0" xfId="0">
      <alignment horizontal="left"/>
    </xf>
    <xf numFmtId="0" fontId="49" fillId="27" borderId="0" applyAlignment="1" pivotButton="0" quotePrefix="0" xfId="0">
      <alignment horizontal="center"/>
    </xf>
    <xf numFmtId="0" fontId="52" fillId="28" borderId="0" pivotButton="0" quotePrefix="0" xfId="0"/>
    <xf numFmtId="0" fontId="0" fillId="28" borderId="0" pivotButton="0" quotePrefix="0" xfId="0"/>
    <xf numFmtId="0" fontId="53" fillId="0" borderId="0" pivotButton="0" quotePrefix="0" xfId="0"/>
    <xf numFmtId="0" fontId="54" fillId="0" borderId="0" pivotButton="0" quotePrefix="0" xfId="0"/>
    <xf numFmtId="0" fontId="55" fillId="0" borderId="0" pivotButton="0" quotePrefix="0" xfId="0"/>
    <xf numFmtId="3" fontId="55" fillId="0" borderId="0" applyAlignment="1" pivotButton="0" quotePrefix="0" xfId="0">
      <alignment horizontal="right"/>
    </xf>
    <xf numFmtId="2" fontId="55" fillId="0" borderId="0" applyAlignment="1" pivotButton="0" quotePrefix="0" xfId="0">
      <alignment horizontal="right"/>
    </xf>
    <xf numFmtId="1" fontId="55" fillId="0" borderId="0" applyAlignment="1" pivotButton="0" quotePrefix="0" xfId="0">
      <alignment horizontal="right"/>
    </xf>
    <xf numFmtId="180" fontId="55" fillId="0" borderId="0" applyAlignment="1" pivotButton="0" quotePrefix="0" xfId="0">
      <alignment horizontal="right"/>
    </xf>
    <xf numFmtId="180" fontId="56" fillId="0" borderId="0" applyAlignment="1" pivotButton="0" quotePrefix="0" xfId="0">
      <alignment horizontal="right"/>
    </xf>
    <xf numFmtId="0" fontId="56" fillId="0" borderId="0" applyAlignment="1" pivotButton="0" quotePrefix="0" xfId="0">
      <alignment horizontal="right"/>
    </xf>
    <xf numFmtId="180" fontId="0" fillId="0" borderId="0" pivotButton="0" quotePrefix="0" xfId="0"/>
    <xf numFmtId="0" fontId="56" fillId="0" borderId="0" pivotButton="0" quotePrefix="0" xfId="0"/>
    <xf numFmtId="180" fontId="56" fillId="0" borderId="0" pivotButton="0" quotePrefix="0" xfId="0"/>
    <xf numFmtId="10" fontId="54" fillId="0" borderId="0" pivotButton="0" quotePrefix="0" xfId="0"/>
    <xf numFmtId="175" fontId="54" fillId="0" borderId="0" pivotButton="0" quotePrefix="0" xfId="0"/>
    <xf numFmtId="181" fontId="0" fillId="0" borderId="0" pivotButton="0" quotePrefix="0" xfId="0"/>
    <xf numFmtId="10" fontId="55" fillId="0" borderId="0" applyAlignment="1" pivotButton="0" quotePrefix="0" xfId="0">
      <alignment horizontal="right"/>
    </xf>
    <xf numFmtId="0" fontId="57" fillId="0" borderId="0" pivotButton="0" quotePrefix="0" xfId="0"/>
    <xf numFmtId="0" fontId="58" fillId="0" borderId="0" pivotButton="0" quotePrefix="0" xfId="0"/>
    <xf numFmtId="0" fontId="59" fillId="0" borderId="0" pivotButton="0" quotePrefix="0" xfId="0"/>
    <xf numFmtId="180" fontId="59" fillId="0" borderId="0" applyAlignment="1" pivotButton="0" quotePrefix="0" xfId="0">
      <alignment horizontal="right"/>
    </xf>
    <xf numFmtId="165" fontId="59" fillId="0" borderId="0" applyAlignment="1" pivotButton="0" quotePrefix="0" xfId="0">
      <alignment horizontal="right"/>
    </xf>
    <xf numFmtId="0" fontId="60" fillId="0" borderId="0" pivotButton="0" quotePrefix="0" xfId="0"/>
    <xf numFmtId="0" fontId="60" fillId="0" borderId="0" applyAlignment="1" pivotButton="0" quotePrefix="0" xfId="0">
      <alignment horizontal="right"/>
    </xf>
    <xf numFmtId="180" fontId="60" fillId="0" borderId="0" pivotButton="0" quotePrefix="0" xfId="0"/>
    <xf numFmtId="180" fontId="58" fillId="0" borderId="0" pivotButton="0" quotePrefix="0" xfId="0"/>
    <xf numFmtId="10" fontId="58" fillId="0" borderId="0" pivotButton="0" quotePrefix="0" xfId="0"/>
    <xf numFmtId="175" fontId="58" fillId="0" borderId="0" pivotButton="0" quotePrefix="0" xfId="0"/>
    <xf numFmtId="0" fontId="62" fillId="0" borderId="0" pivotButton="0" quotePrefix="0" xfId="0"/>
    <xf numFmtId="0" fontId="61" fillId="0" borderId="0" pivotButton="0" quotePrefix="0" xfId="0"/>
    <xf numFmtId="10" fontId="61" fillId="0" borderId="0" pivotButton="0" quotePrefix="0" xfId="0"/>
    <xf numFmtId="0" fontId="63" fillId="29" borderId="0" pivotButton="0" quotePrefix="0" xfId="0"/>
    <xf numFmtId="0" fontId="0" fillId="29" borderId="0" pivotButton="0" quotePrefix="0" xfId="0"/>
    <xf numFmtId="0" fontId="64" fillId="0" borderId="0" pivotButton="0" quotePrefix="0" xfId="0"/>
    <xf numFmtId="0" fontId="65" fillId="0" borderId="0" pivotButton="0" quotePrefix="0" xfId="0"/>
    <xf numFmtId="0" fontId="66" fillId="0" borderId="0" pivotButton="0" quotePrefix="0" xfId="0"/>
    <xf numFmtId="3" fontId="66" fillId="0" borderId="0" applyAlignment="1" pivotButton="0" quotePrefix="0" xfId="0">
      <alignment horizontal="right"/>
    </xf>
    <xf numFmtId="180" fontId="66" fillId="30" borderId="0" applyAlignment="1" pivotButton="0" quotePrefix="0" xfId="0">
      <alignment horizontal="right"/>
    </xf>
    <xf numFmtId="165" fontId="66" fillId="0" borderId="0" applyAlignment="1" pivotButton="0" quotePrefix="0" xfId="0">
      <alignment horizontal="right"/>
    </xf>
    <xf numFmtId="180" fontId="67" fillId="0" borderId="0" applyAlignment="1" pivotButton="0" quotePrefix="0" xfId="0">
      <alignment horizontal="right"/>
    </xf>
    <xf numFmtId="180" fontId="66" fillId="0" borderId="0" applyAlignment="1" pivotButton="0" quotePrefix="0" xfId="0">
      <alignment horizontal="right"/>
    </xf>
    <xf numFmtId="173" fontId="66" fillId="30" borderId="0" applyAlignment="1" pivotButton="0" quotePrefix="0" xfId="0">
      <alignment horizontal="right"/>
    </xf>
    <xf numFmtId="165" fontId="66" fillId="30" borderId="0" applyAlignment="1" pivotButton="0" quotePrefix="0" xfId="0">
      <alignment horizontal="right"/>
    </xf>
    <xf numFmtId="3" fontId="67" fillId="0" borderId="0" applyAlignment="1" pivotButton="0" quotePrefix="0" xfId="0">
      <alignment horizontal="right"/>
    </xf>
    <xf numFmtId="10" fontId="66" fillId="0" borderId="0" applyAlignment="1" pivotButton="0" quotePrefix="0" xfId="0">
      <alignment horizontal="right"/>
    </xf>
    <xf numFmtId="173" fontId="66" fillId="0" borderId="0" applyAlignment="1" pivotButton="0" quotePrefix="0" xfId="0">
      <alignment horizontal="right"/>
    </xf>
    <xf numFmtId="1" fontId="66" fillId="0" borderId="0" applyAlignment="1" pivotButton="0" quotePrefix="0" xfId="0">
      <alignment horizontal="right"/>
    </xf>
    <xf numFmtId="182" fontId="66" fillId="30" borderId="0" applyAlignment="1" pivotButton="0" quotePrefix="0" xfId="0">
      <alignment horizontal="right"/>
    </xf>
    <xf numFmtId="10" fontId="67" fillId="0" borderId="0" applyAlignment="1" pivotButton="0" quotePrefix="0" xfId="0">
      <alignment horizontal="right"/>
    </xf>
    <xf numFmtId="10" fontId="66" fillId="30" borderId="0" applyAlignment="1" pivotButton="0" quotePrefix="0" xfId="0">
      <alignment horizontal="right"/>
    </xf>
    <xf numFmtId="0" fontId="67" fillId="0" borderId="0" pivotButton="0" quotePrefix="0" xfId="0"/>
    <xf numFmtId="180" fontId="67" fillId="0" borderId="0" pivotButton="0" quotePrefix="0" xfId="0"/>
    <xf numFmtId="0" fontId="68" fillId="0" borderId="0" pivotButton="0" quotePrefix="0" xfId="0"/>
    <xf numFmtId="10" fontId="68" fillId="0" borderId="0" pivotButton="0" quotePrefix="0" xfId="0"/>
    <xf numFmtId="175" fontId="68" fillId="0" borderId="0" pivotButton="0" quotePrefix="0" xfId="0"/>
    <xf numFmtId="0" fontId="69" fillId="0" borderId="0" pivotButton="0" quotePrefix="0" xfId="0"/>
    <xf numFmtId="0" fontId="35" fillId="12" borderId="0" applyAlignment="1" pivotButton="0" quotePrefix="0" xfId="0">
      <alignment horizontal="left" vertical="center" indent="1"/>
    </xf>
    <xf numFmtId="0" fontId="0" fillId="0" borderId="0" pivotButton="0" quotePrefix="0" xfId="0"/>
    <xf numFmtId="0" fontId="44" fillId="16" borderId="0" applyAlignment="1" pivotButton="0" quotePrefix="0" xfId="0">
      <alignment horizontal="left" vertical="top" wrapText="1" indent="1"/>
    </xf>
    <xf numFmtId="0" fontId="36" fillId="13" borderId="0" applyAlignment="1" pivotButton="0" quotePrefix="0" xfId="0">
      <alignment horizontal="left" indent="1"/>
    </xf>
    <xf numFmtId="0" fontId="30" fillId="12" borderId="0" pivotButton="0" quotePrefix="0" xfId="0"/>
    <xf numFmtId="0" fontId="74" fillId="0" borderId="0" pivotButton="0" quotePrefix="0" xfId="0"/>
    <xf numFmtId="0" fontId="75" fillId="0" borderId="0" pivotButton="0" quotePrefix="0" xfId="0"/>
    <xf numFmtId="0" fontId="73" fillId="0" borderId="0" pivotButton="0" quotePrefix="0" xfId="0"/>
    <xf numFmtId="0" fontId="72" fillId="0" borderId="0" pivotButton="0" quotePrefix="0" xfId="0"/>
    <xf numFmtId="0" fontId="76" fillId="0" borderId="0" applyAlignment="1" pivotButton="0" quotePrefix="0" xfId="0">
      <alignment vertical="top" wrapText="1"/>
    </xf>
    <xf numFmtId="0" fontId="70" fillId="31" borderId="0" applyAlignment="1" pivotButton="0" quotePrefix="0" xfId="0">
      <alignment horizontal="left"/>
    </xf>
    <xf numFmtId="0" fontId="77" fillId="0" borderId="0" pivotButton="0" quotePrefix="0" xfId="0"/>
    <xf numFmtId="0" fontId="78" fillId="0" borderId="0" applyAlignment="1" pivotButton="0" quotePrefix="0" xfId="0">
      <alignment vertical="top" wrapText="1"/>
    </xf>
    <xf numFmtId="0" fontId="70" fillId="31" borderId="0" applyAlignment="1" pivotButton="0" quotePrefix="0" xfId="0">
      <alignment horizontal="left" vertical="center"/>
    </xf>
    <xf numFmtId="0" fontId="70" fillId="31" borderId="0" pivotButton="0" quotePrefix="0" xfId="0"/>
    <xf numFmtId="0" fontId="71" fillId="0" borderId="0" pivotButton="0" quotePrefix="0" xfId="0"/>
    <xf numFmtId="0" fontId="70" fillId="31" borderId="8" applyAlignment="1" pivotButton="0" quotePrefix="0" xfId="0">
      <alignment horizontal="center"/>
    </xf>
    <xf numFmtId="10" fontId="0" fillId="0" borderId="8" pivotButton="0" quotePrefix="0" xfId="0"/>
    <xf numFmtId="180" fontId="0" fillId="0" borderId="8" pivotButton="0" quotePrefix="0" xfId="0"/>
    <xf numFmtId="177" fontId="0" fillId="0" borderId="8" pivotButton="0" quotePrefix="0" xfId="0"/>
    <xf numFmtId="10" fontId="0" fillId="32" borderId="8" pivotButton="0" quotePrefix="0" xfId="0"/>
    <xf numFmtId="180" fontId="0" fillId="32" borderId="8" pivotButton="0" quotePrefix="0" xfId="0"/>
    <xf numFmtId="177" fontId="0" fillId="32" borderId="8" pivotButton="0" quotePrefix="0" xfId="0"/>
    <xf numFmtId="10" fontId="72" fillId="33" borderId="8" pivotButton="0" quotePrefix="0" xfId="0"/>
    <xf numFmtId="180" fontId="72" fillId="33" borderId="8" pivotButton="0" quotePrefix="0" xfId="0"/>
    <xf numFmtId="177" fontId="72" fillId="33" borderId="8" pivotButton="0" quotePrefix="0" xfId="0"/>
  </cellXfs>
  <cellStyles count="1">
    <cellStyle name="Normal" xfId="0" builtinId="0"/>
  </cellStyle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2CC"/>
      <rgbColor rgb="FFE2EFDA"/>
      <rgbColor rgb="FF660066"/>
      <rgbColor rgb="FFFF8080"/>
      <rgbColor rgb="FF1F4E79"/>
      <rgbColor rgb="FFD6E4F0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2F2F2"/>
      <rgbColor rgb="FFC6EFCE"/>
      <rgbColor rgb="FFFFFF99"/>
      <rgbColor rgb="FF99CCFF"/>
      <rgbColor rgb="FFFF99CC"/>
      <rgbColor rgb="FFCC99FF"/>
      <rgbColor rgb="FFFFCC99"/>
      <rgbColor rgb="FF2E75B6"/>
      <rgbColor rgb="FF33CCCC"/>
      <rgbColor rgb="FF99CC00"/>
      <rgbColor rgb="FFFFCC00"/>
      <rgbColor rgb="FFFF9900"/>
      <rgbColor rgb="FFFF6600"/>
      <rgbColor rgb="FF666666"/>
      <rgbColor rgb="FF999999"/>
      <rgbColor rgb="FF1F3864"/>
      <rgbColor rgb="FF339966"/>
      <rgbColor rgb="FF1F3A5F"/>
      <rgbColor rgb="FF444444"/>
      <rgbColor rgb="FF993300"/>
      <rgbColor rgb="FF993366"/>
      <rgbColor rgb="FF2E5090"/>
      <rgbColor rgb="FF1B2A4A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worksheet" Target="/xl/worksheets/sheet9.xml" Id="rId9"/><Relationship Type="http://schemas.openxmlformats.org/officeDocument/2006/relationships/worksheet" Target="/xl/worksheets/sheet10.xml" Id="rId10"/><Relationship Type="http://schemas.openxmlformats.org/officeDocument/2006/relationships/worksheet" Target="/xl/worksheets/sheet11.xml" Id="rId11"/><Relationship Type="http://schemas.openxmlformats.org/officeDocument/2006/relationships/worksheet" Target="/xl/worksheets/sheet12.xml" Id="rId12"/><Relationship Type="http://schemas.openxmlformats.org/officeDocument/2006/relationships/worksheet" Target="/xl/worksheets/sheet13.xml" Id="rId13"/><Relationship Type="http://schemas.openxmlformats.org/officeDocument/2006/relationships/styles" Target="styles.xml" Id="rId14"/><Relationship Type="http://schemas.openxmlformats.org/officeDocument/2006/relationships/theme" Target="theme/theme1.xml" Id="rId15"/></Relationships>
</file>

<file path=xl/comments/comment1.xml><?xml version="1.0" encoding="utf-8"?>
<comments xmlns="http://schemas.openxmlformats.org/spreadsheetml/2006/main">
  <authors>
    <author>JAL Model</author>
  </authors>
  <commentList>
    <comment ref="C53" authorId="0" shapeId="0">
      <text>
        <t>Matches seller exit $/SF</t>
      </text>
    </comment>
  </commentList>
</comment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5.xml.rels><Relationships xmlns="http://schemas.openxmlformats.org/package/2006/relationships"><Relationship Type="http://schemas.openxmlformats.org/officeDocument/2006/relationships/comments" Target="/xl/comments/comment1.xml" Id="comments"/><Relationship Type="http://schemas.openxmlformats.org/officeDocument/2006/relationships/vmlDrawing" Target="/xl/drawings/commentsDrawing1.vml" Id="anysvml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D34"/>
  <sheetViews>
    <sheetView workbookViewId="0">
      <selection activeCell="A1" sqref="A1"/>
    </sheetView>
  </sheetViews>
  <sheetFormatPr baseColWidth="8" defaultRowHeight="15"/>
  <cols>
    <col width="4" customWidth="1" style="262" min="1" max="1"/>
    <col width="38" customWidth="1" style="262" min="2" max="2"/>
    <col width="55" customWidth="1" style="262" min="3" max="3"/>
    <col width="55" customWidth="1" style="262" min="4" max="4"/>
  </cols>
  <sheetData>
    <row r="1"/>
    <row r="2">
      <c r="B2" s="266" t="inlineStr">
        <is>
          <t>SHOPPES AT SAN FELIPE — IRR MODEL</t>
        </is>
      </c>
    </row>
    <row r="3">
      <c r="B3" s="267" t="inlineStr">
        <is>
          <t>Source of Truth for Return Scenarios + Belay Decks  ·  Version 2026.05.20</t>
        </is>
      </c>
    </row>
    <row r="4"/>
    <row r="5">
      <c r="B5" s="268" t="inlineStr">
        <is>
          <t>VERSION HISTORY</t>
        </is>
      </c>
    </row>
    <row r="6" ht="75" customHeight="1" s="262">
      <c r="B6" s="269" t="inlineStr">
        <is>
          <t>2026.04.30</t>
        </is>
      </c>
      <c r="C6" s="270" t="inlineStr">
        <is>
          <t>Initial IRR model; Scenario 2B downside @ 5.00% exit cap.</t>
        </is>
      </c>
    </row>
    <row r="7" ht="75" customHeight="1" s="262">
      <c r="B7" s="269" t="inlineStr">
        <is>
          <t>2026.05.20</t>
        </is>
      </c>
      <c r="C7" s="270" t="inlineStr">
        <is>
          <t>Recalibrated Scenario 2B downside to 5.50% (was 5.00%) following InLight Capital diligence pushback.  5.00% retained as upside compression case.  Added EXIT CAP RATE SENSITIVITY table (Sensitivity Analysis row 160).  Added README + source-of-truth banner.  Confirmed CapEx Reserve methodology: 48,196 SF inline retail × $0.75/SF = $36,147/yr.  Reserve covers CapEx (roof/HVAC/structural) AND TI/LC for in-line tenancy in a single combined line item.  CVS pad ground-leased and tenant-maintained, excluded.</t>
        </is>
      </c>
    </row>
    <row r="8"/>
    <row r="9"/>
    <row r="10">
      <c r="B10" s="268" t="inlineStr">
        <is>
          <t>DECK ↔ MODEL CROSSWALK</t>
        </is>
      </c>
    </row>
    <row r="11">
      <c r="B11" s="271" t="inlineStr">
        <is>
          <t>Deck Slide / Output</t>
        </is>
      </c>
      <c r="C11" s="271" t="inlineStr">
        <is>
          <t>Sheet</t>
        </is>
      </c>
      <c r="D11" s="271" t="inlineStr">
        <is>
          <t>Cell(s) / Source</t>
        </is>
      </c>
    </row>
    <row r="12" ht="32" customHeight="1" s="262">
      <c r="B12" s="270" t="inlineStr">
        <is>
          <t>Going-in cap rate (5.94%)</t>
        </is>
      </c>
      <c r="C12" s="272" t="inlineStr">
        <is>
          <t>Operating Model</t>
        </is>
      </c>
      <c r="D12" s="273" t="inlineStr">
        <is>
          <t>C15 = Y1 NOI / Purchase Price</t>
        </is>
      </c>
    </row>
    <row r="13" ht="32" customHeight="1" s="262">
      <c r="B13" s="270" t="inlineStr">
        <is>
          <t>Year 1-Year 10 NOI</t>
        </is>
      </c>
      <c r="C13" s="272" t="inlineStr">
        <is>
          <t>Operating Model</t>
        </is>
      </c>
      <c r="D13" s="273" t="inlineStr">
        <is>
          <t>C21:L21 (from rent roll)</t>
        </is>
      </c>
    </row>
    <row r="14" ht="32" customHeight="1" s="262">
      <c r="B14" s="270" t="inlineStr">
        <is>
          <t>Purchase Price $31.75M</t>
        </is>
      </c>
      <c r="C14" s="272" t="inlineStr">
        <is>
          <t>Operating Model</t>
        </is>
      </c>
      <c r="D14" s="273" t="inlineStr">
        <is>
          <t>C6</t>
        </is>
      </c>
    </row>
    <row r="15" ht="32" customHeight="1" s="262">
      <c r="B15" s="270" t="inlineStr">
        <is>
          <t>Total Basis $32.5M</t>
        </is>
      </c>
      <c r="C15" s="272" t="inlineStr">
        <is>
          <t>Operating Model</t>
        </is>
      </c>
      <c r="D15" s="273" t="inlineStr">
        <is>
          <t>C8 = C6 × (1 + 2.36% acq fee)</t>
        </is>
      </c>
    </row>
    <row r="16" ht="32" customHeight="1" s="262">
      <c r="B16" s="270" t="inlineStr">
        <is>
          <t>Loan Amount $19.5M</t>
        </is>
      </c>
      <c r="C16" s="272" t="inlineStr">
        <is>
          <t>Operating Model</t>
        </is>
      </c>
      <c r="D16" s="273" t="inlineStr">
        <is>
          <t>C10 = C8 × 60% LTV</t>
        </is>
      </c>
    </row>
    <row r="17" ht="32" customHeight="1" s="262">
      <c r="B17" s="270" t="inlineStr">
        <is>
          <t>Equity Required $13.0M</t>
        </is>
      </c>
      <c r="C17" s="272" t="inlineStr">
        <is>
          <t>Operating Model</t>
        </is>
      </c>
      <c r="D17" s="273" t="inlineStr">
        <is>
          <t>C14 = C8 − C10</t>
        </is>
      </c>
    </row>
    <row r="18" ht="32" customHeight="1" s="262">
      <c r="B18" s="270" t="inlineStr">
        <is>
          <t>CapEx Reserve $36,147/yr</t>
        </is>
      </c>
      <c r="C18" s="272" t="inlineStr">
        <is>
          <t>Operating Model</t>
        </is>
      </c>
      <c r="D18" s="273" t="inlineStr">
        <is>
          <t>C47 = C45 × C46 = 48,196 SF × $0.75/SF — covers both CapEx (roof/HVAC/structural) and TI/LC for the inline tenancy.  48,196 SF excludes the CVS pad (ground-leased / tenant-maintained).</t>
        </is>
      </c>
    </row>
    <row r="19" ht="32" customHeight="1" s="262">
      <c r="B19" s="270" t="inlineStr">
        <is>
          <t>Scenario 1 (10-yr / $300 SF)</t>
        </is>
      </c>
      <c r="C19" s="272" t="inlineStr">
        <is>
          <t>Land Sale to MF Developer</t>
        </is>
      </c>
      <c r="D19" s="273" t="inlineStr">
        <is>
          <t>Full sheet</t>
        </is>
      </c>
    </row>
    <row r="20" ht="32" customHeight="1" s="262">
      <c r="B20" s="270" t="inlineStr">
        <is>
          <t>Scenario 2A (5-yr / $246 SF)</t>
        </is>
      </c>
      <c r="C20" s="272" t="inlineStr">
        <is>
          <t>5-Yr Exit Scenarios</t>
        </is>
      </c>
      <c r="D20" s="273" t="inlineStr">
        <is>
          <t>C28-C46 (Project) + C81-C108 (LP)</t>
        </is>
      </c>
    </row>
    <row r="21" ht="32" customHeight="1" s="262">
      <c r="B21" s="270" t="inlineStr">
        <is>
          <t>Scenario 2B (5-yr / 5.50% cap)</t>
        </is>
      </c>
      <c r="C21" s="272" t="inlineStr">
        <is>
          <t>5-Yr Exit Scenarios</t>
        </is>
      </c>
      <c r="D21" s="273" t="inlineStr">
        <is>
          <t>C49 = exit cap (0.055).  C51-C67 drive Project; C109-C124 drive LP.  Edit C49 to flex.</t>
        </is>
      </c>
    </row>
    <row r="22" ht="32" customHeight="1" s="262">
      <c r="B22" s="270" t="inlineStr">
        <is>
          <t>Exit Cap Rate Sensitivity (4.5%-6.5%)</t>
        </is>
      </c>
      <c r="C22" s="272" t="inlineStr">
        <is>
          <t>Sensitivity Analysis</t>
        </is>
      </c>
      <c r="D22" s="273" t="inlineStr">
        <is>
          <t>Row 160-172</t>
        </is>
      </c>
    </row>
    <row r="23" ht="32" customHeight="1" s="262">
      <c r="B23" s="270" t="inlineStr">
        <is>
          <t>LP Waterfall (10-yr base)</t>
        </is>
      </c>
      <c r="C23" s="272" t="inlineStr">
        <is>
          <t>LP Waterfall</t>
        </is>
      </c>
      <c r="D23" s="273" t="inlineStr">
        <is>
          <t>C6-C53</t>
        </is>
      </c>
    </row>
    <row r="24" ht="32" customHeight="1" s="262">
      <c r="B24" s="270" t="inlineStr">
        <is>
          <t>Scenario 3A (CVS Parcel Sale Y7)</t>
        </is>
      </c>
      <c r="C24" s="272" t="inlineStr">
        <is>
          <t>Scenario 3 - CVS Yr7 Sale</t>
        </is>
      </c>
      <c r="D24" s="273" t="inlineStr">
        <is>
          <t>Full sheet</t>
        </is>
      </c>
    </row>
    <row r="25" ht="32" customHeight="1" s="262">
      <c r="B25" s="270" t="inlineStr">
        <is>
          <t>Scenario 3B (CVS Land Contribution)</t>
        </is>
      </c>
      <c r="C25" s="272" t="inlineStr">
        <is>
          <t>Scenario 4 - CVS Contribution</t>
        </is>
      </c>
      <c r="D25" s="273" t="inlineStr">
        <is>
          <t>Full sheet</t>
        </is>
      </c>
    </row>
    <row r="26" ht="32" customHeight="1" s="262">
      <c r="B26" s="270" t="inlineStr">
        <is>
          <t>Tax Case Study</t>
        </is>
      </c>
      <c r="C26" s="272" t="inlineStr">
        <is>
          <t>Tax Case Study / Tax Model / Tax Constants</t>
        </is>
      </c>
      <c r="D26" s="273" t="inlineStr">
        <is>
          <t>3-sheet cascade</t>
        </is>
      </c>
    </row>
    <row r="27"/>
    <row r="28"/>
    <row r="29">
      <c r="B29" s="268" t="inlineStr">
        <is>
          <t>HOW TO MAKE COMMON EDITS</t>
        </is>
      </c>
    </row>
    <row r="30" ht="32" customHeight="1" s="262">
      <c r="B30" s="270" t="inlineStr">
        <is>
          <t>• Change Scenario 2B base downside cap rate:  edit '5-Yr Exit Scenarios'!C49.  All Scenario 2B Project + LP outputs cascade.</t>
        </is>
      </c>
    </row>
    <row r="31" ht="32" customHeight="1" s="262">
      <c r="B31" s="270" t="inlineStr">
        <is>
          <t>• Change CapEx + TI/LC Reserve assumption:  edit 'Operating Model' C45 (Building SF) or C46 ($/SF).  C45 currently 48,196 (inline retail only — excludes CVS).  Reserve covers both CapEx and TI/LC in a single line.</t>
        </is>
      </c>
    </row>
    <row r="32" ht="32" customHeight="1" s="262">
      <c r="B32" s="270" t="inlineStr">
        <is>
          <t>• Change LP waterfall (mgmt fee, pref multiple, profit split):  edit 'LP Waterfall' C7 / C10 / C12.</t>
        </is>
      </c>
    </row>
    <row r="33" ht="32" customHeight="1" s="262">
      <c r="B33" s="270" t="inlineStr">
        <is>
          <t>• Change exit cap sensitivity rows:  re-run /tmp/update_model_v2.py with new cap rates list (static numbers pre-computed; not live formulas due to Excel array-literal handling).</t>
        </is>
      </c>
    </row>
    <row r="34" ht="32" customHeight="1" s="262">
      <c r="B34" s="270" t="inlineStr">
        <is>
          <t>• After any change:  re-export both decks (Return Scenarios.pptx + Belay.pptx) to PDF.  Numbers in deck text frames are hard-coded and must be manually updated to match this model.</t>
        </is>
      </c>
    </row>
  </sheetData>
  <mergeCells count="12">
    <mergeCell ref="B10:D10"/>
    <mergeCell ref="B33:D33"/>
    <mergeCell ref="B3:D3"/>
    <mergeCell ref="B5:D5"/>
    <mergeCell ref="C6:D6"/>
    <mergeCell ref="C7:D7"/>
    <mergeCell ref="B31:D31"/>
    <mergeCell ref="B32:D32"/>
    <mergeCell ref="B30:D30"/>
    <mergeCell ref="B29:D29"/>
    <mergeCell ref="B2:D2"/>
    <mergeCell ref="B34:D34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B1:E59"/>
  <sheetViews>
    <sheetView showGridLines="0" workbookViewId="0">
      <selection activeCell="A1" sqref="A1"/>
    </sheetView>
  </sheetViews>
  <sheetFormatPr baseColWidth="10" defaultColWidth="8.83203125" defaultRowHeight="15"/>
  <cols>
    <col width="3" customWidth="1" style="262" min="1" max="1"/>
    <col width="44" customWidth="1" style="262" min="2" max="2"/>
    <col width="18" customWidth="1" style="262" min="3" max="3"/>
    <col width="16" customWidth="1" style="262" min="4" max="5"/>
  </cols>
  <sheetData>
    <row r="1" ht="28" customHeight="1" s="262">
      <c r="B1" s="265" t="inlineStr">
        <is>
          <t>DEAL CONSTANTS — DO NOT EDIT</t>
        </is>
      </c>
    </row>
    <row r="3">
      <c r="B3" s="129" t="inlineStr">
        <is>
          <t>Total LP Equity Raise</t>
        </is>
      </c>
      <c r="C3" s="155">
        <f>'LP Waterfall'!C6</f>
        <v/>
      </c>
    </row>
    <row r="4">
      <c r="B4" s="129" t="inlineStr">
        <is>
          <t>Total Property Basis</t>
        </is>
      </c>
      <c r="C4" s="155">
        <f>'Operating Model'!C8</f>
        <v/>
      </c>
    </row>
    <row r="5">
      <c r="B5" s="129" t="inlineStr">
        <is>
          <t>Senior Debt (60% LTV)</t>
        </is>
      </c>
      <c r="C5" s="155">
        <f>'Operating Model'!C10</f>
        <v/>
      </c>
    </row>
    <row r="6">
      <c r="B6" s="129" t="inlineStr">
        <is>
          <t>Interest Rate (Y1–Y5)</t>
        </is>
      </c>
      <c r="C6" s="165">
        <f>'Operating Model'!C11</f>
        <v/>
      </c>
    </row>
    <row r="7">
      <c r="B7" s="129" t="inlineStr">
        <is>
          <t>Interest-Only Period (Y1–Y5)</t>
        </is>
      </c>
      <c r="C7" s="166">
        <f>'Operating Model'!C12</f>
        <v/>
      </c>
    </row>
    <row r="8">
      <c r="B8" s="129" t="inlineStr">
        <is>
          <t>Amortization Term</t>
        </is>
      </c>
      <c r="C8" s="166">
        <f>'Operating Model'!C13</f>
        <v/>
      </c>
    </row>
    <row r="9">
      <c r="B9" s="129" t="inlineStr">
        <is>
          <t>Refi Loan Amount (Y5)</t>
        </is>
      </c>
      <c r="C9" s="155">
        <f>'Operating Model'!C36</f>
        <v/>
      </c>
    </row>
    <row r="10">
      <c r="B10" s="129" t="inlineStr">
        <is>
          <t>Refi Interest Rate (Y6–Y10)</t>
        </is>
      </c>
      <c r="C10" s="165">
        <f>'Operating Model'!C30</f>
        <v/>
      </c>
    </row>
    <row r="11">
      <c r="B11" s="129" t="inlineStr">
        <is>
          <t>Refi IO Period (Y6–Y10)</t>
        </is>
      </c>
      <c r="C11" s="166">
        <f>'Operating Model'!C31</f>
        <v/>
      </c>
    </row>
    <row r="12">
      <c r="B12" s="129" t="inlineStr">
        <is>
          <t>Year 5 Refi Net Cash-Out</t>
        </is>
      </c>
      <c r="C12" s="155">
        <f>'Operating Model'!C39</f>
        <v/>
      </c>
    </row>
    <row r="13">
      <c r="B13" s="129" t="inlineStr">
        <is>
          <t>Annual CapEx Reserve</t>
        </is>
      </c>
      <c r="C13" s="155">
        <f>'Operating Model'!C47</f>
        <v/>
      </c>
    </row>
    <row r="14">
      <c r="B14" s="129" t="inlineStr">
        <is>
          <t>Annual Management Fee %</t>
        </is>
      </c>
      <c r="C14" s="165">
        <f>'LP Waterfall'!C7</f>
        <v/>
      </c>
    </row>
    <row r="15">
      <c r="B15" s="129" t="inlineStr">
        <is>
          <t>Exit — Land Sale $/SF</t>
        </is>
      </c>
      <c r="C15" s="155">
        <f>'Land Sale to MF Developer'!C28</f>
        <v/>
      </c>
    </row>
    <row r="16">
      <c r="B16" s="129" t="inlineStr">
        <is>
          <t>Exit — Land Area SF</t>
        </is>
      </c>
      <c r="C16" s="166">
        <f>'Operating Model'!C18</f>
        <v/>
      </c>
    </row>
    <row r="17">
      <c r="B17" s="129" t="inlineStr">
        <is>
          <t>Exit — Loan Payoff</t>
        </is>
      </c>
      <c r="C17" s="155">
        <f>'Land Sale to MF Developer'!C32</f>
        <v/>
      </c>
    </row>
    <row r="18">
      <c r="B18" s="129" t="inlineStr">
        <is>
          <t>Exit — Disposition Cost</t>
        </is>
      </c>
      <c r="C18" s="155">
        <f>'Land Sale to MF Developer'!C31</f>
        <v/>
      </c>
    </row>
    <row r="19">
      <c r="B19" s="129" t="inlineStr">
        <is>
          <t>Exit — Net Proceeds (deal)</t>
        </is>
      </c>
      <c r="C19" s="155">
        <f>'Land Sale to MF Developer'!C33</f>
        <v/>
      </c>
    </row>
    <row r="20">
      <c r="B20" s="129" t="inlineStr">
        <is>
          <t>LP Share of Exit Distributions</t>
        </is>
      </c>
      <c r="C20" s="155">
        <f>'LP Waterfall'!M49</f>
        <v/>
      </c>
    </row>
    <row r="21">
      <c r="B21" s="129" t="inlineStr">
        <is>
          <t>LP Share Pre-Exit Distributions</t>
        </is>
      </c>
      <c r="C21" s="155">
        <f>SUM('LP Waterfall'!D21:M21)</f>
        <v/>
      </c>
    </row>
    <row r="22">
      <c r="B22" s="129" t="inlineStr">
        <is>
          <t>LP Total Distributions</t>
        </is>
      </c>
      <c r="C22" s="155">
        <f>'LP Waterfall'!C42</f>
        <v/>
      </c>
    </row>
    <row r="23">
      <c r="B23" s="129" t="inlineStr">
        <is>
          <t>Building Useful Life (yrs)</t>
        </is>
      </c>
      <c r="C23" s="166" t="n">
        <v>39</v>
      </c>
    </row>
    <row r="25">
      <c r="B25" s="123" t="inlineStr">
        <is>
          <t>YEAR-BY-YEAR NOI (from underwriting)</t>
        </is>
      </c>
    </row>
    <row r="26">
      <c r="B26" s="129" t="inlineStr">
        <is>
          <t>Year 1 NOI</t>
        </is>
      </c>
      <c r="C26" s="167">
        <f>'Operating Model'!C21</f>
        <v/>
      </c>
    </row>
    <row r="27">
      <c r="B27" s="129" t="inlineStr">
        <is>
          <t>Year 2 NOI</t>
        </is>
      </c>
      <c r="C27" s="167">
        <f>'Operating Model'!D21</f>
        <v/>
      </c>
    </row>
    <row r="28">
      <c r="B28" s="129" t="inlineStr">
        <is>
          <t>Year 3 NOI</t>
        </is>
      </c>
      <c r="C28" s="167">
        <f>'Operating Model'!E21</f>
        <v/>
      </c>
    </row>
    <row r="29">
      <c r="B29" s="129" t="inlineStr">
        <is>
          <t>Year 4 NOI</t>
        </is>
      </c>
      <c r="C29" s="167">
        <f>'Operating Model'!F21</f>
        <v/>
      </c>
    </row>
    <row r="30">
      <c r="B30" s="129" t="inlineStr">
        <is>
          <t>Year 5 NOI</t>
        </is>
      </c>
      <c r="C30" s="167">
        <f>'Operating Model'!G21</f>
        <v/>
      </c>
    </row>
    <row r="31">
      <c r="B31" s="129" t="inlineStr">
        <is>
          <t>Year 6 NOI</t>
        </is>
      </c>
      <c r="C31" s="167">
        <f>'Operating Model'!H21</f>
        <v/>
      </c>
    </row>
    <row r="32">
      <c r="B32" s="129" t="inlineStr">
        <is>
          <t>Year 7 NOI</t>
        </is>
      </c>
      <c r="C32" s="167">
        <f>'Operating Model'!I21</f>
        <v/>
      </c>
    </row>
    <row r="33">
      <c r="B33" s="129" t="inlineStr">
        <is>
          <t>Year 8 NOI</t>
        </is>
      </c>
      <c r="C33" s="167">
        <f>'Operating Model'!J21</f>
        <v/>
      </c>
    </row>
    <row r="34">
      <c r="B34" s="129" t="inlineStr">
        <is>
          <t>Year 9 NOI</t>
        </is>
      </c>
      <c r="C34" s="167">
        <f>'Operating Model'!K21</f>
        <v/>
      </c>
    </row>
    <row r="35">
      <c r="B35" s="129" t="inlineStr">
        <is>
          <t>Year 10 NOI</t>
        </is>
      </c>
      <c r="C35" s="167">
        <f>'Operating Model'!L21</f>
        <v/>
      </c>
    </row>
    <row r="37">
      <c r="B37" s="123" t="inlineStr">
        <is>
          <t>YEAR-BY-YEAR DEBT SERVICE</t>
        </is>
      </c>
      <c r="D37" s="168" t="inlineStr">
        <is>
          <t>Total DS</t>
        </is>
      </c>
      <c r="E37" s="168" t="inlineStr">
        <is>
          <t>Interest Only</t>
        </is>
      </c>
    </row>
    <row r="38">
      <c r="B38" s="129" t="inlineStr">
        <is>
          <t>Year 1</t>
        </is>
      </c>
      <c r="C38" s="167">
        <f>'Operating Model'!C23</f>
        <v/>
      </c>
      <c r="D38" s="167">
        <f>'Operating Model'!C23</f>
        <v/>
      </c>
      <c r="E38" s="167">
        <f>'Operating Model'!C10*'Operating Model'!C11</f>
        <v/>
      </c>
    </row>
    <row r="39">
      <c r="B39" s="129" t="inlineStr">
        <is>
          <t>Year 2</t>
        </is>
      </c>
      <c r="C39" s="167">
        <f>'Operating Model'!D23</f>
        <v/>
      </c>
      <c r="D39" s="167">
        <f>'Operating Model'!D23</f>
        <v/>
      </c>
      <c r="E39" s="167">
        <f>'Operating Model'!C10*'Operating Model'!C11</f>
        <v/>
      </c>
    </row>
    <row r="40">
      <c r="B40" s="129" t="inlineStr">
        <is>
          <t>Year 3</t>
        </is>
      </c>
      <c r="C40" s="167">
        <f>'Operating Model'!E23</f>
        <v/>
      </c>
      <c r="D40" s="167">
        <f>'Operating Model'!E23</f>
        <v/>
      </c>
      <c r="E40" s="167">
        <f>-CUMIPMT('Operating Model'!C11/12,'Operating Model'!C13*12,'Operating Model'!C10,1,12,0)</f>
        <v/>
      </c>
    </row>
    <row r="41">
      <c r="B41" s="129" t="inlineStr">
        <is>
          <t>Year 4</t>
        </is>
      </c>
      <c r="C41" s="167">
        <f>'Operating Model'!F23</f>
        <v/>
      </c>
      <c r="D41" s="167">
        <f>'Operating Model'!F23</f>
        <v/>
      </c>
      <c r="E41" s="167">
        <f>-CUMIPMT('Operating Model'!C11/12,'Operating Model'!C13*12,'Operating Model'!C10,13,24,0)</f>
        <v/>
      </c>
    </row>
    <row r="42">
      <c r="B42" s="129" t="inlineStr">
        <is>
          <t>Year 5</t>
        </is>
      </c>
      <c r="C42" s="167">
        <f>'Operating Model'!G23</f>
        <v/>
      </c>
      <c r="D42" s="167">
        <f>'Operating Model'!G23</f>
        <v/>
      </c>
      <c r="E42" s="167">
        <f>-CUMIPMT('Operating Model'!C11/12,'Operating Model'!C13*12,'Operating Model'!C10,25,36,0)</f>
        <v/>
      </c>
    </row>
    <row r="43">
      <c r="B43" s="129" t="inlineStr">
        <is>
          <t>Year 6</t>
        </is>
      </c>
      <c r="C43" s="167">
        <f>'Operating Model'!H23</f>
        <v/>
      </c>
      <c r="D43" s="167">
        <f>'Operating Model'!H23</f>
        <v/>
      </c>
      <c r="E43" s="167">
        <f>'Operating Model'!C36*'Operating Model'!C30</f>
        <v/>
      </c>
    </row>
    <row r="44">
      <c r="B44" s="129" t="inlineStr">
        <is>
          <t>Year 7</t>
        </is>
      </c>
      <c r="C44" s="167">
        <f>'Operating Model'!I23</f>
        <v/>
      </c>
      <c r="D44" s="167">
        <f>'Operating Model'!I23</f>
        <v/>
      </c>
      <c r="E44" s="167">
        <f>'Operating Model'!C36*'Operating Model'!C30</f>
        <v/>
      </c>
    </row>
    <row r="45">
      <c r="B45" s="129" t="inlineStr">
        <is>
          <t>Year 8</t>
        </is>
      </c>
      <c r="C45" s="167">
        <f>'Operating Model'!J23</f>
        <v/>
      </c>
      <c r="D45" s="167">
        <f>'Operating Model'!J23</f>
        <v/>
      </c>
      <c r="E45" s="167">
        <f>-CUMIPMT('Operating Model'!C30/12,'Operating Model'!C32*12,'Operating Model'!C36,1,12,0)</f>
        <v/>
      </c>
    </row>
    <row r="46">
      <c r="B46" s="129" t="inlineStr">
        <is>
          <t>Year 9</t>
        </is>
      </c>
      <c r="C46" s="167">
        <f>'Operating Model'!K23</f>
        <v/>
      </c>
      <c r="D46" s="167">
        <f>'Operating Model'!K23</f>
        <v/>
      </c>
      <c r="E46" s="167">
        <f>-CUMIPMT('Operating Model'!C30/12,'Operating Model'!C32*12,'Operating Model'!C36,13,24,0)</f>
        <v/>
      </c>
    </row>
    <row r="47">
      <c r="B47" s="129" t="inlineStr">
        <is>
          <t>Year 10</t>
        </is>
      </c>
      <c r="C47" s="167">
        <f>'Operating Model'!L23</f>
        <v/>
      </c>
      <c r="D47" s="167">
        <f>'Operating Model'!L23</f>
        <v/>
      </c>
      <c r="E47" s="167">
        <f>-CUMIPMT('Operating Model'!C30/12,'Operating Model'!C32*12,'Operating Model'!C36,25,36,0)</f>
        <v/>
      </c>
    </row>
    <row r="49">
      <c r="B49" s="123" t="inlineStr">
        <is>
          <t>YEAR-BY-YEAR LP CASH DISTRIBUTIONS (pre-exit)</t>
        </is>
      </c>
    </row>
    <row r="50">
      <c r="B50" s="129" t="inlineStr">
        <is>
          <t>Year 1</t>
        </is>
      </c>
      <c r="C50" s="167">
        <f>'LP Waterfall'!D21</f>
        <v/>
      </c>
    </row>
    <row r="51">
      <c r="B51" s="129" t="inlineStr">
        <is>
          <t>Year 2</t>
        </is>
      </c>
      <c r="C51" s="167">
        <f>'LP Waterfall'!E21</f>
        <v/>
      </c>
    </row>
    <row r="52">
      <c r="B52" s="129" t="inlineStr">
        <is>
          <t>Year 3</t>
        </is>
      </c>
      <c r="C52" s="167">
        <f>'LP Waterfall'!F21</f>
        <v/>
      </c>
    </row>
    <row r="53">
      <c r="B53" s="129" t="inlineStr">
        <is>
          <t>Year 4</t>
        </is>
      </c>
      <c r="C53" s="167">
        <f>'LP Waterfall'!G21</f>
        <v/>
      </c>
    </row>
    <row r="54">
      <c r="B54" s="129" t="inlineStr">
        <is>
          <t>Year 5</t>
        </is>
      </c>
      <c r="C54" s="167">
        <f>'LP Waterfall'!H21</f>
        <v/>
      </c>
    </row>
    <row r="55">
      <c r="B55" s="129" t="inlineStr">
        <is>
          <t>Year 6</t>
        </is>
      </c>
      <c r="C55" s="167">
        <f>'LP Waterfall'!I21</f>
        <v/>
      </c>
    </row>
    <row r="56">
      <c r="B56" s="129" t="inlineStr">
        <is>
          <t>Year 7</t>
        </is>
      </c>
      <c r="C56" s="167">
        <f>'LP Waterfall'!J21</f>
        <v/>
      </c>
    </row>
    <row r="57">
      <c r="B57" s="129" t="inlineStr">
        <is>
          <t>Year 8</t>
        </is>
      </c>
      <c r="C57" s="167">
        <f>'LP Waterfall'!K21</f>
        <v/>
      </c>
    </row>
    <row r="58">
      <c r="B58" s="129" t="inlineStr">
        <is>
          <t>Year 9</t>
        </is>
      </c>
      <c r="C58" s="167">
        <f>'LP Waterfall'!L21</f>
        <v/>
      </c>
    </row>
    <row r="59">
      <c r="B59" s="129" t="inlineStr">
        <is>
          <t>Year 10</t>
        </is>
      </c>
      <c r="C59" s="167">
        <f>'LP Waterfall'!M21</f>
        <v/>
      </c>
    </row>
  </sheetData>
  <mergeCells count="1">
    <mergeCell ref="B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B2:M89"/>
  <sheetViews>
    <sheetView workbookViewId="0">
      <selection activeCell="A1" sqref="A1"/>
    </sheetView>
  </sheetViews>
  <sheetFormatPr baseColWidth="10" defaultColWidth="8.83203125" defaultRowHeight="15"/>
  <cols>
    <col width="2" customWidth="1" style="262" min="1" max="1"/>
    <col width="38" customWidth="1" style="262" min="2" max="2"/>
    <col width="14" customWidth="1" style="262" min="3" max="13"/>
  </cols>
  <sheetData>
    <row r="2" ht="19" customHeight="1" s="262">
      <c r="B2" s="204" t="inlineStr">
        <is>
          <t>SCENARIO 3 — CVS PARCEL SALE (YEAR 7)</t>
        </is>
      </c>
      <c r="C2" s="205" t="n"/>
      <c r="D2" s="205" t="n"/>
      <c r="E2" s="205" t="n"/>
      <c r="F2" s="205" t="n"/>
      <c r="G2" s="205" t="n"/>
      <c r="H2" s="205" t="n"/>
      <c r="I2" s="205" t="n"/>
      <c r="J2" s="205" t="n"/>
      <c r="K2" s="205" t="n"/>
      <c r="L2" s="205" t="n"/>
      <c r="M2" s="205" t="n"/>
    </row>
    <row r="3">
      <c r="B3" s="206" t="inlineStr">
        <is>
          <t>Sell the 1.31-acre CVS parcel at end of Y7 (lease expires 1/31/2033).  Continue operating the rest of the center.</t>
        </is>
      </c>
    </row>
    <row r="5">
      <c r="B5" s="207" t="inlineStr">
        <is>
          <t>ASSUMPTIONS  /  CVS PARCEL SALE</t>
        </is>
      </c>
    </row>
    <row r="6">
      <c r="B6" s="208" t="inlineStr">
        <is>
          <t>Total site land area (SF)</t>
        </is>
      </c>
      <c r="C6" s="209">
        <f>'Operating Model'!C18</f>
        <v/>
      </c>
    </row>
    <row r="7">
      <c r="B7" s="208" t="inlineStr">
        <is>
          <t>CVS land area (SF)</t>
        </is>
      </c>
      <c r="C7" s="210" t="n">
        <v>64417</v>
      </c>
    </row>
    <row r="8">
      <c r="B8" s="208" t="inlineStr">
        <is>
          <t>CVS land area (acres)</t>
        </is>
      </c>
      <c r="C8" s="210">
        <f>C7/43560</f>
        <v/>
      </c>
    </row>
    <row r="9">
      <c r="B9" s="208" t="inlineStr">
        <is>
          <t>Remaining land at Y10 (SF)</t>
        </is>
      </c>
      <c r="C9" s="209">
        <f>C6-C7</f>
        <v/>
      </c>
    </row>
    <row r="10">
      <c r="B10" s="208" t="inlineStr">
        <is>
          <t>Sale Year</t>
        </is>
      </c>
      <c r="C10" s="211" t="n">
        <v>7</v>
      </c>
    </row>
    <row r="11">
      <c r="B11" s="208" t="inlineStr">
        <is>
          <t>CVS land sale $/SF</t>
        </is>
      </c>
      <c r="C11" s="212" t="n">
        <v>250</v>
      </c>
    </row>
    <row r="12">
      <c r="B12" s="208" t="inlineStr">
        <is>
          <t>CVS gross sale proceeds</t>
        </is>
      </c>
      <c r="C12" s="212">
        <f>C7*C11</f>
        <v/>
      </c>
    </row>
    <row r="13">
      <c r="B13" s="208" t="inlineStr">
        <is>
          <t>Disposition costs (2%)</t>
        </is>
      </c>
      <c r="C13" s="212">
        <f>C12*0.02</f>
        <v/>
      </c>
    </row>
    <row r="14">
      <c r="B14" s="208" t="inlineStr">
        <is>
          <t>CVS buyout (lease ends naturally)</t>
        </is>
      </c>
      <c r="C14" s="212" t="n">
        <v>0</v>
      </c>
    </row>
    <row r="15">
      <c r="B15" s="208" t="inlineStr">
        <is>
          <t>Net Y7 CVS sale proceeds (to equity)</t>
        </is>
      </c>
      <c r="C15" s="213">
        <f>C12-C13-C14</f>
        <v/>
      </c>
    </row>
    <row r="17">
      <c r="B17" s="207" t="inlineStr">
        <is>
          <t>ASSUMPTIONS  /  REMAINING PROPERTY (Y10 EXIT)</t>
        </is>
      </c>
    </row>
    <row r="18">
      <c r="B18" s="208" t="inlineStr">
        <is>
          <t>Remaining land sale $/SF</t>
        </is>
      </c>
      <c r="C18" s="212" t="n">
        <v>300</v>
      </c>
    </row>
    <row r="19">
      <c r="B19" s="208" t="inlineStr">
        <is>
          <t>Remaining gross sale (Y10)</t>
        </is>
      </c>
      <c r="C19" s="212">
        <f>C9*C18</f>
        <v/>
      </c>
    </row>
    <row r="20">
      <c r="B20" s="208" t="inlineStr">
        <is>
          <t>Disposition costs (2%)</t>
        </is>
      </c>
      <c r="C20" s="212">
        <f>C19*0.02</f>
        <v/>
      </c>
    </row>
    <row r="21">
      <c r="B21" s="208" t="inlineStr">
        <is>
          <t>Y10 loan payoff (full base case)</t>
        </is>
      </c>
      <c r="C21" s="212">
        <f>'Operating Model'!C42</f>
        <v/>
      </c>
    </row>
    <row r="22">
      <c r="B22" s="208" t="inlineStr">
        <is>
          <t>Net Y10 remaining property exit</t>
        </is>
      </c>
      <c r="C22" s="213">
        <f>C19-C20-C21</f>
        <v/>
      </c>
    </row>
    <row r="24">
      <c r="B24" s="207" t="inlineStr">
        <is>
          <t>10-YEAR CASH FLOW  (project gross, on $13M equity)</t>
        </is>
      </c>
    </row>
    <row r="25">
      <c r="C25" s="214" t="inlineStr">
        <is>
          <t>Year 1</t>
        </is>
      </c>
      <c r="D25" s="214" t="inlineStr">
        <is>
          <t>Year 2</t>
        </is>
      </c>
      <c r="E25" s="214" t="inlineStr">
        <is>
          <t>Year 3</t>
        </is>
      </c>
      <c r="F25" s="214" t="inlineStr">
        <is>
          <t>Year 4</t>
        </is>
      </c>
      <c r="G25" s="214" t="inlineStr">
        <is>
          <t>Year 5</t>
        </is>
      </c>
      <c r="H25" s="214" t="inlineStr">
        <is>
          <t>Year 6</t>
        </is>
      </c>
      <c r="I25" s="214" t="inlineStr">
        <is>
          <t>Year 7</t>
        </is>
      </c>
      <c r="J25" s="214" t="inlineStr">
        <is>
          <t>Year 8</t>
        </is>
      </c>
      <c r="K25" s="214" t="inlineStr">
        <is>
          <t>Year 9</t>
        </is>
      </c>
      <c r="L25" s="214" t="inlineStr">
        <is>
          <t>Year 10</t>
        </is>
      </c>
    </row>
    <row r="26">
      <c r="B26" s="208" t="inlineStr">
        <is>
          <t>Base Operating CF</t>
        </is>
      </c>
      <c r="C26" s="215">
        <f>'Operating Model'!C24</f>
        <v/>
      </c>
      <c r="D26" s="215">
        <f>'Operating Model'!D24</f>
        <v/>
      </c>
      <c r="E26" s="215">
        <f>'Operating Model'!E24</f>
        <v/>
      </c>
      <c r="F26" s="215">
        <f>'Operating Model'!F24</f>
        <v/>
      </c>
      <c r="G26" s="215">
        <f>'Operating Model'!G24</f>
        <v/>
      </c>
      <c r="H26" s="215">
        <f>'Operating Model'!H24</f>
        <v/>
      </c>
      <c r="I26" s="215">
        <f>'Operating Model'!I24</f>
        <v/>
      </c>
      <c r="J26" s="215">
        <f>'Operating Model'!J24</f>
        <v/>
      </c>
      <c r="K26" s="215">
        <f>'Operating Model'!K24</f>
        <v/>
      </c>
      <c r="L26" s="215">
        <f>'Operating Model'!L24</f>
        <v/>
      </c>
    </row>
    <row r="27">
      <c r="B27" s="208" t="inlineStr">
        <is>
          <t>Less: Lost CVS rent (Y8-10)</t>
        </is>
      </c>
      <c r="C27" s="215" t="n">
        <v>0</v>
      </c>
      <c r="D27" s="215" t="n">
        <v>0</v>
      </c>
      <c r="E27" s="215" t="n">
        <v>0</v>
      </c>
      <c r="F27" s="215" t="n">
        <v>0</v>
      </c>
      <c r="G27" s="215" t="n">
        <v>0</v>
      </c>
      <c r="H27" s="215" t="n">
        <v>0</v>
      </c>
      <c r="I27" s="215" t="n">
        <v>0</v>
      </c>
      <c r="J27" s="215" t="n">
        <v>-404250</v>
      </c>
      <c r="K27" s="215" t="n">
        <v>-404250</v>
      </c>
      <c r="L27" s="215" t="n">
        <v>-404250</v>
      </c>
    </row>
    <row r="28">
      <c r="B28" s="208" t="inlineStr">
        <is>
          <t>Y7 CVS parcel sale (net)</t>
        </is>
      </c>
      <c r="C28" s="215" t="n">
        <v>0</v>
      </c>
      <c r="D28" s="215" t="n">
        <v>0</v>
      </c>
      <c r="E28" s="215" t="n">
        <v>0</v>
      </c>
      <c r="F28" s="215" t="n">
        <v>0</v>
      </c>
      <c r="G28" s="215" t="n">
        <v>0</v>
      </c>
      <c r="H28" s="215" t="n">
        <v>0</v>
      </c>
      <c r="I28" s="215">
        <f>C15</f>
        <v/>
      </c>
      <c r="J28" s="215" t="n">
        <v>0</v>
      </c>
      <c r="K28" s="215" t="n">
        <v>0</v>
      </c>
      <c r="L28" s="215" t="n">
        <v>0</v>
      </c>
    </row>
    <row r="29">
      <c r="B29" s="208" t="inlineStr">
        <is>
          <t>Y10 remaining property exit</t>
        </is>
      </c>
      <c r="C29" s="215" t="n">
        <v>0</v>
      </c>
      <c r="D29" s="215" t="n">
        <v>0</v>
      </c>
      <c r="E29" s="215" t="n">
        <v>0</v>
      </c>
      <c r="F29" s="215" t="n">
        <v>0</v>
      </c>
      <c r="G29" s="215" t="n">
        <v>0</v>
      </c>
      <c r="H29" s="215" t="n">
        <v>0</v>
      </c>
      <c r="I29" s="215" t="n">
        <v>0</v>
      </c>
      <c r="J29" s="215" t="n">
        <v>0</v>
      </c>
      <c r="K29" s="215" t="n">
        <v>0</v>
      </c>
      <c r="L29" s="215">
        <f>C22</f>
        <v/>
      </c>
    </row>
    <row r="30">
      <c r="B30" s="208" t="inlineStr">
        <is>
          <t>Y5 refi cash-out (same as base)</t>
        </is>
      </c>
      <c r="C30" s="215" t="n">
        <v>0</v>
      </c>
      <c r="D30" s="215" t="n">
        <v>0</v>
      </c>
      <c r="E30" s="215" t="n">
        <v>0</v>
      </c>
      <c r="F30" s="215" t="n">
        <v>0</v>
      </c>
      <c r="G30" s="215">
        <f>'Operating Model'!C39</f>
        <v/>
      </c>
      <c r="H30" s="215" t="n">
        <v>0</v>
      </c>
      <c r="I30" s="215" t="n">
        <v>0</v>
      </c>
      <c r="J30" s="215" t="n">
        <v>0</v>
      </c>
      <c r="K30" s="215" t="n">
        <v>0</v>
      </c>
      <c r="L30" s="215" t="n">
        <v>0</v>
      </c>
    </row>
    <row r="31">
      <c r="B31" s="216" t="inlineStr">
        <is>
          <t>Total Project Cash Flow</t>
        </is>
      </c>
      <c r="C31" s="217">
        <f>C26+C27+C28+C29+C30</f>
        <v/>
      </c>
      <c r="D31" s="217">
        <f>D26+D27+D28+D29+D30</f>
        <v/>
      </c>
      <c r="E31" s="217">
        <f>E26+E27+E28+E29+E30</f>
        <v/>
      </c>
      <c r="F31" s="217">
        <f>F26+F27+F28+F29+F30</f>
        <v/>
      </c>
      <c r="G31" s="217">
        <f>G26+G27+G28+G29+G30</f>
        <v/>
      </c>
      <c r="H31" s="217">
        <f>H26+H27+H28+H29+H30</f>
        <v/>
      </c>
      <c r="I31" s="217">
        <f>I26+I27+I28+I29+I30</f>
        <v/>
      </c>
      <c r="J31" s="217">
        <f>J26+J27+J28+J29+J30</f>
        <v/>
      </c>
      <c r="K31" s="217">
        <f>K26+K27+K28+K29+K30</f>
        <v/>
      </c>
      <c r="L31" s="217">
        <f>L26+L27+L28+L29+L30</f>
        <v/>
      </c>
    </row>
    <row r="33">
      <c r="B33" s="207" t="inlineStr">
        <is>
          <t>PROJECT-LEVEL RETURNS</t>
        </is>
      </c>
    </row>
    <row r="34">
      <c r="B34" s="208" t="inlineStr">
        <is>
          <t>CF for IRR</t>
        </is>
      </c>
      <c r="C34" s="215">
        <f>-'Operating Model'!C14</f>
        <v/>
      </c>
      <c r="D34" s="215">
        <f>C31</f>
        <v/>
      </c>
      <c r="E34" s="215">
        <f>D31</f>
        <v/>
      </c>
      <c r="F34" s="215">
        <f>E31</f>
        <v/>
      </c>
      <c r="G34" s="215">
        <f>F31</f>
        <v/>
      </c>
      <c r="H34" s="215">
        <f>G31</f>
        <v/>
      </c>
      <c r="I34" s="215">
        <f>H31</f>
        <v/>
      </c>
      <c r="J34" s="215">
        <f>I31</f>
        <v/>
      </c>
      <c r="K34" s="215">
        <f>J31</f>
        <v/>
      </c>
      <c r="L34" s="215">
        <f>K31</f>
        <v/>
      </c>
      <c r="M34" s="215">
        <f>L31</f>
        <v/>
      </c>
    </row>
    <row r="36">
      <c r="B36" s="207" t="inlineStr">
        <is>
          <t>Project IRR</t>
        </is>
      </c>
      <c r="C36" s="218">
        <f>IRR(C34:M34)</f>
        <v/>
      </c>
    </row>
    <row r="37">
      <c r="B37" s="207" t="inlineStr">
        <is>
          <t>Equity Multiple</t>
        </is>
      </c>
      <c r="C37" s="219">
        <f>SUM(D34:M34)/(-C34)</f>
        <v/>
      </c>
    </row>
    <row r="38">
      <c r="B38" t="inlineStr">
        <is>
          <t>Year 1 Cash-on-Cash</t>
        </is>
      </c>
      <c r="C38" s="118">
        <f>D34/(-C34)</f>
        <v/>
      </c>
    </row>
    <row r="39">
      <c r="B39" t="inlineStr">
        <is>
          <t>Avg Cash-on-Cash (incl. refi &amp; sales)</t>
        </is>
      </c>
      <c r="C39" s="118">
        <f>AVERAGE(D34:M34)/(-C34)</f>
        <v/>
      </c>
    </row>
    <row r="41">
      <c r="B41" s="207" t="inlineStr">
        <is>
          <t>COMPARISON vs BASE CASE</t>
        </is>
      </c>
    </row>
    <row r="42">
      <c r="C42" s="216" t="inlineStr">
        <is>
          <t>Scenario 3</t>
        </is>
      </c>
      <c r="D42" s="216" t="inlineStr">
        <is>
          <t>Base (10-Yr/$300)</t>
        </is>
      </c>
      <c r="E42" s="216" t="inlineStr">
        <is>
          <t>Δ</t>
        </is>
      </c>
    </row>
    <row r="43">
      <c r="B43" t="inlineStr">
        <is>
          <t>Project IRR</t>
        </is>
      </c>
      <c r="C43" s="118">
        <f>C36</f>
        <v/>
      </c>
      <c r="D43" s="118">
        <f>'Land Sale to MF Developer'!C44</f>
        <v/>
      </c>
      <c r="E43" s="118">
        <f>C43-D43</f>
        <v/>
      </c>
    </row>
    <row r="44">
      <c r="B44" t="inlineStr">
        <is>
          <t>Equity Multiple</t>
        </is>
      </c>
      <c r="C44" s="120">
        <f>C37</f>
        <v/>
      </c>
      <c r="D44" s="120">
        <f>'Land Sale to MF Developer'!C45</f>
        <v/>
      </c>
      <c r="E44" s="220">
        <f>C44-D44</f>
        <v/>
      </c>
    </row>
    <row r="46">
      <c r="B46" s="207" t="inlineStr">
        <is>
          <t>NOTES</t>
        </is>
      </c>
    </row>
    <row r="47">
      <c r="B47" s="222" t="inlineStr">
        <is>
          <t>• CVS lease expires 1/31/2033 (mid-Y7) — assumes lease ends naturally with no buyout cost.</t>
        </is>
      </c>
    </row>
    <row r="48">
      <c r="B48" s="222" t="inlineStr">
        <is>
          <t>• CVS parcel: 64,417 SF (~1.48 acres) per recorded plat.</t>
        </is>
      </c>
    </row>
    <row r="49">
      <c r="B49" s="222" t="inlineStr">
        <is>
          <t>• CVS land $/SF default: $250 — conservative for a single sub-parcel sale.  $300 is the base</t>
        </is>
      </c>
    </row>
    <row r="50">
      <c r="B50" s="222" t="inlineStr">
        <is>
          <t xml:space="preserve">  case for full-property assemblage; sub-parcel typically trades 10-20% lower.  Flex C11.</t>
        </is>
      </c>
    </row>
    <row r="51">
      <c r="B51" s="222" t="inlineStr">
        <is>
          <t>• Y8-Y10 NOI reduced by $404,250/yr (lost ground-lease rent per OM Financial Package).</t>
        </is>
      </c>
    </row>
    <row r="52">
      <c r="B52" s="222" t="inlineStr">
        <is>
          <t>• Loan stays in place through Y10 (no partial paydown on Y7 sale).  Lender release of CVS</t>
        </is>
      </c>
    </row>
    <row r="53">
      <c r="B53" s="222" t="inlineStr">
        <is>
          <t xml:space="preserve">  parcel assumed; remaining property at $40M comfortably covers $22M refi balance.</t>
        </is>
      </c>
    </row>
    <row r="54">
      <c r="B54" s="222" t="inlineStr">
        <is>
          <t>• Y10 exit: remaining 133,345 SF × $300/SF = $40.0M gross (full-parcel basis).</t>
        </is>
      </c>
    </row>
    <row r="56">
      <c r="B56" s="223" t="inlineStr">
        <is>
          <t>LP WATERFALL  /  NET OF 1.25% FEE + 80/20 PROMOTE PAST 1.25x PREF</t>
        </is>
      </c>
    </row>
    <row r="58">
      <c r="B58" s="224" t="inlineStr">
        <is>
          <t>Total Equity Invested</t>
        </is>
      </c>
      <c r="C58" s="225">
        <f>'LP Waterfall'!C6</f>
        <v/>
      </c>
    </row>
    <row r="59">
      <c r="B59" s="224" t="inlineStr">
        <is>
          <t>Annual Management Fee (1.25%)</t>
        </is>
      </c>
      <c r="C59" s="225">
        <f>'LP Waterfall'!C8</f>
        <v/>
      </c>
    </row>
    <row r="60">
      <c r="B60" s="224" t="inlineStr">
        <is>
          <t>Pref Return Threshold (1.25x)</t>
        </is>
      </c>
      <c r="C60" s="225">
        <f>'LP Waterfall'!C11</f>
        <v/>
      </c>
    </row>
    <row r="61">
      <c r="B61" s="224" t="inlineStr">
        <is>
          <t>LP Profit Split (above pref)</t>
        </is>
      </c>
      <c r="C61" s="226">
        <f>'LP Waterfall'!C12</f>
        <v/>
      </c>
    </row>
    <row r="62">
      <c r="B62" s="227" t="inlineStr">
        <is>
          <t>LP ANNUAL DISTRIBUTIONS</t>
        </is>
      </c>
    </row>
    <row r="63">
      <c r="C63" s="228" t="inlineStr">
        <is>
          <t>Year 1</t>
        </is>
      </c>
      <c r="D63" s="228" t="inlineStr">
        <is>
          <t>Year 2</t>
        </is>
      </c>
      <c r="E63" s="228" t="inlineStr">
        <is>
          <t>Year 3</t>
        </is>
      </c>
      <c r="F63" s="228" t="inlineStr">
        <is>
          <t>Year 4</t>
        </is>
      </c>
      <c r="G63" s="228" t="inlineStr">
        <is>
          <t>Year 5</t>
        </is>
      </c>
      <c r="H63" s="228" t="inlineStr">
        <is>
          <t>Year 6</t>
        </is>
      </c>
      <c r="I63" s="228" t="inlineStr">
        <is>
          <t>Year 7</t>
        </is>
      </c>
      <c r="J63" s="228" t="inlineStr">
        <is>
          <t>Year 8</t>
        </is>
      </c>
      <c r="K63" s="228" t="inlineStr">
        <is>
          <t>Year 9</t>
        </is>
      </c>
      <c r="L63" s="228" t="inlineStr">
        <is>
          <t>Year 10</t>
        </is>
      </c>
    </row>
    <row r="64">
      <c r="B64" s="224" t="inlineStr">
        <is>
          <t>LP Operating Distribution</t>
        </is>
      </c>
      <c r="C64" s="215">
        <f>MAX(0,(C26+C27)-$C$59)</f>
        <v/>
      </c>
      <c r="D64" s="215">
        <f>MAX(0,(D26+D27)-$C$59)</f>
        <v/>
      </c>
      <c r="E64" s="215">
        <f>MAX(0,(E26+E27)-$C$59)</f>
        <v/>
      </c>
      <c r="F64" s="215">
        <f>MAX(0,(F26+F27)-$C$59)</f>
        <v/>
      </c>
      <c r="G64" s="215">
        <f>MAX(0,(G26+G27)-$C$59)</f>
        <v/>
      </c>
      <c r="H64" s="215">
        <f>MAX(0,(H26+H27)-$C$59)</f>
        <v/>
      </c>
      <c r="I64" s="215">
        <f>MAX(0,(I26+I27)-$C$59)</f>
        <v/>
      </c>
      <c r="J64" s="215">
        <f>MAX(0,(J26+J27)-$C$59)</f>
        <v/>
      </c>
      <c r="K64" s="215">
        <f>MAX(0,(K26+K27)-$C$59)</f>
        <v/>
      </c>
      <c r="L64" s="215">
        <f>MAX(0,(L26+L27)-$C$59)</f>
        <v/>
      </c>
    </row>
    <row r="65">
      <c r="B65" s="224" t="inlineStr">
        <is>
          <t>Refi Cash-Out (Y5)</t>
        </is>
      </c>
      <c r="C65" s="215" t="inlineStr">
        <is>
          <t>0</t>
        </is>
      </c>
      <c r="D65" s="215" t="inlineStr">
        <is>
          <t>0</t>
        </is>
      </c>
      <c r="E65" s="215" t="inlineStr">
        <is>
          <t>0</t>
        </is>
      </c>
      <c r="F65" s="215" t="inlineStr">
        <is>
          <t>0</t>
        </is>
      </c>
      <c r="G65" s="215">
        <f>G30</f>
        <v/>
      </c>
      <c r="H65" s="215" t="inlineStr">
        <is>
          <t>0</t>
        </is>
      </c>
      <c r="I65" s="215" t="inlineStr">
        <is>
          <t>0</t>
        </is>
      </c>
      <c r="J65" s="215" t="inlineStr">
        <is>
          <t>0</t>
        </is>
      </c>
      <c r="K65" s="215" t="inlineStr">
        <is>
          <t>0</t>
        </is>
      </c>
      <c r="L65" s="215" t="inlineStr">
        <is>
          <t>0</t>
        </is>
      </c>
    </row>
    <row r="66">
      <c r="B66" s="224" t="inlineStr">
        <is>
          <t>Y7 CVS Parcel Sale (current dist)</t>
        </is>
      </c>
      <c r="C66" s="215" t="inlineStr">
        <is>
          <t>0</t>
        </is>
      </c>
      <c r="D66" s="215" t="inlineStr">
        <is>
          <t>0</t>
        </is>
      </c>
      <c r="E66" s="215" t="inlineStr">
        <is>
          <t>0</t>
        </is>
      </c>
      <c r="F66" s="215" t="inlineStr">
        <is>
          <t>0</t>
        </is>
      </c>
      <c r="G66" s="215" t="inlineStr">
        <is>
          <t>0</t>
        </is>
      </c>
      <c r="H66" s="215" t="inlineStr">
        <is>
          <t>0</t>
        </is>
      </c>
      <c r="I66" s="215">
        <f>I28</f>
        <v/>
      </c>
      <c r="J66" s="215" t="inlineStr">
        <is>
          <t>0</t>
        </is>
      </c>
      <c r="K66" s="215" t="inlineStr">
        <is>
          <t>0</t>
        </is>
      </c>
      <c r="L66" s="215" t="inlineStr">
        <is>
          <t>0</t>
        </is>
      </c>
    </row>
    <row r="67">
      <c r="B67" s="224" t="inlineStr">
        <is>
          <t>Y10 Remaining Exit (pre-waterfall)</t>
        </is>
      </c>
      <c r="C67" s="215" t="inlineStr">
        <is>
          <t>0</t>
        </is>
      </c>
      <c r="D67" s="215" t="inlineStr">
        <is>
          <t>0</t>
        </is>
      </c>
      <c r="E67" s="215" t="inlineStr">
        <is>
          <t>0</t>
        </is>
      </c>
      <c r="F67" s="215" t="inlineStr">
        <is>
          <t>0</t>
        </is>
      </c>
      <c r="G67" s="215" t="inlineStr">
        <is>
          <t>0</t>
        </is>
      </c>
      <c r="H67" s="215" t="inlineStr">
        <is>
          <t>0</t>
        </is>
      </c>
      <c r="I67" s="215" t="inlineStr">
        <is>
          <t>0</t>
        </is>
      </c>
      <c r="J67" s="215" t="inlineStr">
        <is>
          <t>0</t>
        </is>
      </c>
      <c r="K67" s="215" t="inlineStr">
        <is>
          <t>0</t>
        </is>
      </c>
      <c r="L67" s="215">
        <f>L29</f>
        <v/>
      </c>
    </row>
    <row r="68">
      <c r="B68" s="224" t="inlineStr">
        <is>
          <t>Total Cash from Project (project gross)</t>
        </is>
      </c>
      <c r="C68" s="229">
        <f>SUM(C64:C67)</f>
        <v/>
      </c>
      <c r="D68" s="229">
        <f>SUM(D64:D67)</f>
        <v/>
      </c>
      <c r="E68" s="229">
        <f>SUM(E64:E67)</f>
        <v/>
      </c>
      <c r="F68" s="229">
        <f>SUM(F64:F67)</f>
        <v/>
      </c>
      <c r="G68" s="229">
        <f>SUM(G64:G67)</f>
        <v/>
      </c>
      <c r="H68" s="229">
        <f>SUM(H64:H67)</f>
        <v/>
      </c>
      <c r="I68" s="229">
        <f>SUM(I64:I67)</f>
        <v/>
      </c>
      <c r="J68" s="229">
        <f>SUM(J64:J67)</f>
        <v/>
      </c>
      <c r="K68" s="229">
        <f>SUM(K64:K67)</f>
        <v/>
      </c>
      <c r="L68" s="229">
        <f>SUM(L64:L67)</f>
        <v/>
      </c>
    </row>
    <row r="70">
      <c r="B70" s="223" t="inlineStr">
        <is>
          <t>WATERFALL TIERS  /  Y10 FINAL TRUE-UP</t>
        </is>
      </c>
    </row>
    <row r="71">
      <c r="B71" s="224" t="inlineStr">
        <is>
          <t>Sum of LP Op Dist (Y1-Y10)</t>
        </is>
      </c>
      <c r="C71" s="215">
        <f>SUM(C64:L64)</f>
        <v/>
      </c>
    </row>
    <row r="72">
      <c r="B72" s="224" t="inlineStr">
        <is>
          <t>Refi Cash-Out (Y5)</t>
        </is>
      </c>
      <c r="C72" s="215">
        <f>G65</f>
        <v/>
      </c>
    </row>
    <row r="73">
      <c r="B73" s="224" t="inlineStr">
        <is>
          <t>Y7 CVS Parcel Sale</t>
        </is>
      </c>
      <c r="C73" s="215">
        <f>I66</f>
        <v/>
      </c>
    </row>
    <row r="74">
      <c r="B74" s="224" t="inlineStr">
        <is>
          <t>Y10 Remaining Exit</t>
        </is>
      </c>
      <c r="C74" s="215">
        <f>L67</f>
        <v/>
      </c>
    </row>
    <row r="75">
      <c r="B75" s="224" t="inlineStr">
        <is>
          <t>Total Value Created</t>
        </is>
      </c>
      <c r="C75" s="229">
        <f>SUM(C71:C74)</f>
        <v/>
      </c>
    </row>
    <row r="77">
      <c r="B77" s="224" t="inlineStr">
        <is>
          <t>Tier 1: Return of Capital</t>
        </is>
      </c>
      <c r="C77" s="215">
        <f>MIN(C75,C58)</f>
        <v/>
      </c>
    </row>
    <row r="78">
      <c r="B78" s="224" t="inlineStr">
        <is>
          <t>Tier 2: Preferred Return (to 1.25x)</t>
        </is>
      </c>
      <c r="C78" s="215">
        <f>MIN(MAX(0,C75-C58),C60-C58)</f>
        <v/>
      </c>
    </row>
    <row r="79">
      <c r="B79" s="224" t="inlineStr">
        <is>
          <t>Tier 3 LP: 80% of Excess</t>
        </is>
      </c>
      <c r="C79" s="215">
        <f>MAX(0,C75-C60)*C61</f>
        <v/>
      </c>
    </row>
    <row r="80">
      <c r="B80" s="224" t="inlineStr">
        <is>
          <t>Tier 3 GP: 20% Promote</t>
        </is>
      </c>
      <c r="C80" s="215">
        <f>MAX(0,C75-C60)*(1-C61)</f>
        <v/>
      </c>
    </row>
    <row r="81">
      <c r="B81" s="224" t="inlineStr">
        <is>
          <t>TOTAL LP DISTRIBUTIONS</t>
        </is>
      </c>
      <c r="C81" s="230">
        <f>C77+C78+C79</f>
        <v/>
      </c>
    </row>
    <row r="82">
      <c r="B82" s="224" t="inlineStr">
        <is>
          <t>GP Promote</t>
        </is>
      </c>
      <c r="C82" s="215">
        <f>C80</f>
        <v/>
      </c>
    </row>
    <row r="84">
      <c r="B84" s="223" t="inlineStr">
        <is>
          <t>LP CASH FLOWS  /  IRR</t>
        </is>
      </c>
    </row>
    <row r="85">
      <c r="B85" s="224" t="inlineStr">
        <is>
          <t>CF for LP IRR</t>
        </is>
      </c>
      <c r="C85" s="215">
        <f>-C58</f>
        <v/>
      </c>
      <c r="D85" s="215">
        <f>C64+C65+C66</f>
        <v/>
      </c>
      <c r="E85" s="215">
        <f>D64+D65+D66</f>
        <v/>
      </c>
      <c r="F85" s="215">
        <f>E64+E65+E66</f>
        <v/>
      </c>
      <c r="G85" s="215">
        <f>F64+F65+F66</f>
        <v/>
      </c>
      <c r="H85" s="215">
        <f>G64+G65+G66</f>
        <v/>
      </c>
      <c r="I85" s="215">
        <f>H64+H65+H66</f>
        <v/>
      </c>
      <c r="J85" s="215">
        <f>I64+I65+I66</f>
        <v/>
      </c>
      <c r="K85" s="215">
        <f>J64+J65+J66</f>
        <v/>
      </c>
      <c r="L85" s="215">
        <f>K64+K65+K66</f>
        <v/>
      </c>
      <c r="M85" s="215">
        <f>L64+(C81-SUM(C64:K64)-G65-I66)</f>
        <v/>
      </c>
    </row>
    <row r="87">
      <c r="B87" s="223" t="inlineStr">
        <is>
          <t>LP IRR (Net)</t>
        </is>
      </c>
      <c r="C87" s="231">
        <f>IRR(C85:M85)</f>
        <v/>
      </c>
    </row>
    <row r="88">
      <c r="B88" s="223" t="inlineStr">
        <is>
          <t>LP Equity Multiple</t>
        </is>
      </c>
      <c r="C88" s="232">
        <f>SUM(D85:M85)/(-C85)</f>
        <v/>
      </c>
    </row>
    <row r="89">
      <c r="B89" s="234" t="inlineStr">
        <is>
          <t>LP Avg Cash-on-Cash (incl. refi)</t>
        </is>
      </c>
      <c r="C89" s="235">
        <f>AVERAGE(C64:L64)/$C$58 + (G65/$C$58/10)</f>
        <v/>
      </c>
    </row>
  </sheetData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B2:M90"/>
  <sheetViews>
    <sheetView workbookViewId="0">
      <selection activeCell="A1" sqref="A1"/>
    </sheetView>
  </sheetViews>
  <sheetFormatPr baseColWidth="10" defaultColWidth="8.83203125" defaultRowHeight="15"/>
  <cols>
    <col width="2" customWidth="1" style="262" min="1" max="1"/>
    <col width="38" customWidth="1" style="262" min="2" max="2"/>
    <col width="14" customWidth="1" style="262" min="3" max="13"/>
  </cols>
  <sheetData>
    <row r="2" ht="19" customHeight="1" s="262">
      <c r="B2" s="204" t="inlineStr">
        <is>
          <t>SCENARIO 4 — CVS LAND CONTRIBUTION / RIDE-ALONG</t>
        </is>
      </c>
      <c r="C2" s="205" t="n"/>
      <c r="D2" s="205" t="n"/>
      <c r="E2" s="205" t="n"/>
      <c r="F2" s="205" t="n"/>
      <c r="G2" s="205" t="n"/>
      <c r="H2" s="205" t="n"/>
      <c r="I2" s="205" t="n"/>
      <c r="J2" s="205" t="n"/>
      <c r="K2" s="205" t="n"/>
      <c r="L2" s="205" t="n"/>
      <c r="M2" s="205" t="n"/>
    </row>
    <row r="3">
      <c r="B3" s="206" t="inlineStr">
        <is>
          <t>Contribute CVS parcel to an MF developer in Y7 in exchange for equity in the project.  Monetize at Y10.</t>
        </is>
      </c>
    </row>
    <row r="5">
      <c r="B5" s="207" t="inlineStr">
        <is>
          <t>ASSUMPTIONS  /  CVS LAND CONTRIBUTION</t>
        </is>
      </c>
    </row>
    <row r="6">
      <c r="B6" s="208" t="inlineStr">
        <is>
          <t>CVS land area (SF)</t>
        </is>
      </c>
      <c r="C6" s="209">
        <f>'Scenario 3 - CVS Yr7 Sale'!C7</f>
        <v/>
      </c>
    </row>
    <row r="7">
      <c r="B7" s="208" t="inlineStr">
        <is>
          <t>CVS land contribution value $/SF</t>
        </is>
      </c>
      <c r="C7" s="212" t="n">
        <v>250</v>
      </c>
    </row>
    <row r="8">
      <c r="B8" s="208" t="inlineStr">
        <is>
          <t>Initial land equity value (Y7)</t>
        </is>
      </c>
      <c r="C8" s="213">
        <f>C6*C7</f>
        <v/>
      </c>
    </row>
    <row r="9">
      <c r="B9" s="208" t="inlineStr">
        <is>
          <t>Contribution Year</t>
        </is>
      </c>
      <c r="C9" s="211" t="n">
        <v>7</v>
      </c>
    </row>
    <row r="10">
      <c r="B10" s="208" t="inlineStr">
        <is>
          <t>Hold of dev equity (years to Y10)</t>
        </is>
      </c>
      <c r="C10" s="211" t="n">
        <v>3</v>
      </c>
    </row>
    <row r="11">
      <c r="B11" s="208" t="inlineStr">
        <is>
          <t>Assumed dev equity IRR (annualized)</t>
        </is>
      </c>
      <c r="C11" s="221">
        <f>'MF Dev — CVS Parcel'!C100</f>
        <v/>
      </c>
    </row>
    <row r="12">
      <c r="B12" s="208" t="inlineStr">
        <is>
          <t>Profit-share kicker on dev profit</t>
        </is>
      </c>
      <c r="C12" s="221" t="n">
        <v>0</v>
      </c>
    </row>
    <row r="13">
      <c r="B13" s="208" t="inlineStr">
        <is>
          <t>Y10 monetization value</t>
        </is>
      </c>
      <c r="C13" s="213">
        <f>C8*(1+C11)^C10</f>
        <v/>
      </c>
    </row>
    <row r="15">
      <c r="B15" s="207" t="inlineStr">
        <is>
          <t>ASSUMPTIONS  /  REMAINING PROPERTY (Y10 EXIT)</t>
        </is>
      </c>
    </row>
    <row r="16">
      <c r="B16" s="208" t="inlineStr">
        <is>
          <t>Remaining land area (SF)</t>
        </is>
      </c>
      <c r="C16" s="209">
        <f>'Scenario 3 - CVS Yr7 Sale'!C9</f>
        <v/>
      </c>
    </row>
    <row r="17">
      <c r="B17" s="208" t="inlineStr">
        <is>
          <t>Remaining land sale $/SF</t>
        </is>
      </c>
      <c r="C17" s="212" t="n">
        <v>300</v>
      </c>
    </row>
    <row r="18">
      <c r="B18" s="208" t="inlineStr">
        <is>
          <t>Remaining gross sale (Y10)</t>
        </is>
      </c>
      <c r="C18" s="212">
        <f>C16*C17</f>
        <v/>
      </c>
    </row>
    <row r="19">
      <c r="B19" s="208" t="inlineStr">
        <is>
          <t>Disposition costs (2%)</t>
        </is>
      </c>
      <c r="C19" s="212">
        <f>C18*0.02</f>
        <v/>
      </c>
    </row>
    <row r="20">
      <c r="B20" s="208" t="inlineStr">
        <is>
          <t>Y10 loan payoff (full base case)</t>
        </is>
      </c>
      <c r="C20" s="212">
        <f>'Operating Model'!C42</f>
        <v/>
      </c>
    </row>
    <row r="21">
      <c r="B21" s="208" t="inlineStr">
        <is>
          <t>Net Y10 remaining property exit</t>
        </is>
      </c>
      <c r="C21" s="213">
        <f>C18-C19-C20</f>
        <v/>
      </c>
    </row>
    <row r="23">
      <c r="B23" s="207" t="inlineStr">
        <is>
          <t>10-YEAR CASH FLOW  (project gross, on $13M equity)</t>
        </is>
      </c>
    </row>
    <row r="24">
      <c r="C24" s="214" t="inlineStr">
        <is>
          <t>Year 1</t>
        </is>
      </c>
      <c r="D24" s="214" t="inlineStr">
        <is>
          <t>Year 2</t>
        </is>
      </c>
      <c r="E24" s="214" t="inlineStr">
        <is>
          <t>Year 3</t>
        </is>
      </c>
      <c r="F24" s="214" t="inlineStr">
        <is>
          <t>Year 4</t>
        </is>
      </c>
      <c r="G24" s="214" t="inlineStr">
        <is>
          <t>Year 5</t>
        </is>
      </c>
      <c r="H24" s="214" t="inlineStr">
        <is>
          <t>Year 6</t>
        </is>
      </c>
      <c r="I24" s="214" t="inlineStr">
        <is>
          <t>Year 7</t>
        </is>
      </c>
      <c r="J24" s="214" t="inlineStr">
        <is>
          <t>Year 8</t>
        </is>
      </c>
      <c r="K24" s="214" t="inlineStr">
        <is>
          <t>Year 9</t>
        </is>
      </c>
      <c r="L24" s="214" t="inlineStr">
        <is>
          <t>Year 10</t>
        </is>
      </c>
    </row>
    <row r="25">
      <c r="B25" s="208" t="inlineStr">
        <is>
          <t>Base Operating CF</t>
        </is>
      </c>
      <c r="C25" s="215">
        <f>'Operating Model'!C24</f>
        <v/>
      </c>
      <c r="D25" s="215">
        <f>'Operating Model'!D24</f>
        <v/>
      </c>
      <c r="E25" s="215">
        <f>'Operating Model'!E24</f>
        <v/>
      </c>
      <c r="F25" s="215">
        <f>'Operating Model'!F24</f>
        <v/>
      </c>
      <c r="G25" s="215">
        <f>'Operating Model'!G24</f>
        <v/>
      </c>
      <c r="H25" s="215">
        <f>'Operating Model'!H24</f>
        <v/>
      </c>
      <c r="I25" s="215">
        <f>'Operating Model'!I24</f>
        <v/>
      </c>
      <c r="J25" s="215">
        <f>'Operating Model'!J24</f>
        <v/>
      </c>
      <c r="K25" s="215">
        <f>'Operating Model'!K24</f>
        <v/>
      </c>
      <c r="L25" s="215">
        <f>'Operating Model'!L24</f>
        <v/>
      </c>
    </row>
    <row r="26">
      <c r="B26" s="208" t="inlineStr">
        <is>
          <t>Less: Lost CVS rent (Y8-10)</t>
        </is>
      </c>
      <c r="C26" s="215" t="n">
        <v>0</v>
      </c>
      <c r="D26" s="215" t="n">
        <v>0</v>
      </c>
      <c r="E26" s="215" t="n">
        <v>0</v>
      </c>
      <c r="F26" s="215" t="n">
        <v>0</v>
      </c>
      <c r="G26" s="215" t="n">
        <v>0</v>
      </c>
      <c r="H26" s="215" t="n">
        <v>0</v>
      </c>
      <c r="I26" s="215" t="n">
        <v>0</v>
      </c>
      <c r="J26" s="215" t="n">
        <v>-404250</v>
      </c>
      <c r="K26" s="215" t="n">
        <v>-404250</v>
      </c>
      <c r="L26" s="215" t="n">
        <v>-404250</v>
      </c>
    </row>
    <row r="27">
      <c r="B27" s="208" t="inlineStr">
        <is>
          <t>Y10 dev equity monetization</t>
        </is>
      </c>
      <c r="C27" s="215" t="n">
        <v>0</v>
      </c>
      <c r="D27" s="215" t="n">
        <v>0</v>
      </c>
      <c r="E27" s="215" t="n">
        <v>0</v>
      </c>
      <c r="F27" s="215" t="n">
        <v>0</v>
      </c>
      <c r="G27" s="215" t="n">
        <v>0</v>
      </c>
      <c r="H27" s="215" t="n">
        <v>0</v>
      </c>
      <c r="I27" s="215" t="n">
        <v>0</v>
      </c>
      <c r="J27" s="215" t="n">
        <v>0</v>
      </c>
      <c r="K27" s="215" t="n">
        <v>0</v>
      </c>
      <c r="L27" s="215">
        <f>C13</f>
        <v/>
      </c>
    </row>
    <row r="28">
      <c r="B28" s="208" t="inlineStr">
        <is>
          <t>Y10 remaining property exit</t>
        </is>
      </c>
      <c r="C28" s="215" t="n">
        <v>0</v>
      </c>
      <c r="D28" s="215" t="n">
        <v>0</v>
      </c>
      <c r="E28" s="215" t="n">
        <v>0</v>
      </c>
      <c r="F28" s="215" t="n">
        <v>0</v>
      </c>
      <c r="G28" s="215" t="n">
        <v>0</v>
      </c>
      <c r="H28" s="215" t="n">
        <v>0</v>
      </c>
      <c r="I28" s="215" t="n">
        <v>0</v>
      </c>
      <c r="J28" s="215" t="n">
        <v>0</v>
      </c>
      <c r="K28" s="215" t="n">
        <v>0</v>
      </c>
      <c r="L28" s="215">
        <f>C21</f>
        <v/>
      </c>
    </row>
    <row r="29">
      <c r="B29" s="208" t="inlineStr">
        <is>
          <t>Y5 refi cash-out (same as base)</t>
        </is>
      </c>
      <c r="C29" s="215" t="n">
        <v>0</v>
      </c>
      <c r="D29" s="215" t="n">
        <v>0</v>
      </c>
      <c r="E29" s="215" t="n">
        <v>0</v>
      </c>
      <c r="F29" s="215" t="n">
        <v>0</v>
      </c>
      <c r="G29" s="215">
        <f>'Operating Model'!C39</f>
        <v/>
      </c>
      <c r="H29" s="215" t="n">
        <v>0</v>
      </c>
      <c r="I29" s="215" t="n">
        <v>0</v>
      </c>
      <c r="J29" s="215" t="n">
        <v>0</v>
      </c>
      <c r="K29" s="215" t="n">
        <v>0</v>
      </c>
      <c r="L29" s="215" t="n">
        <v>0</v>
      </c>
    </row>
    <row r="30">
      <c r="B30" s="216" t="inlineStr">
        <is>
          <t>Total Project Cash Flow</t>
        </is>
      </c>
      <c r="C30" s="217">
        <f>C25+C26+C27+C28+C29</f>
        <v/>
      </c>
      <c r="D30" s="217">
        <f>D25+D26+D27+D28+D29</f>
        <v/>
      </c>
      <c r="E30" s="217">
        <f>E25+E26+E27+E28+E29</f>
        <v/>
      </c>
      <c r="F30" s="217">
        <f>F25+F26+F27+F28+F29</f>
        <v/>
      </c>
      <c r="G30" s="217">
        <f>G25+G26+G27+G28+G29</f>
        <v/>
      </c>
      <c r="H30" s="217">
        <f>H25+H26+H27+H28+H29</f>
        <v/>
      </c>
      <c r="I30" s="217">
        <f>I25+I26+I27+I28+I29</f>
        <v/>
      </c>
      <c r="J30" s="217">
        <f>J25+J26+J27+J28+J29</f>
        <v/>
      </c>
      <c r="K30" s="217">
        <f>K25+K26+K27+K28+K29</f>
        <v/>
      </c>
      <c r="L30" s="217">
        <f>L25+L26+L27+L28+L29</f>
        <v/>
      </c>
    </row>
    <row r="32">
      <c r="B32" s="207" t="inlineStr">
        <is>
          <t>PROJECT-LEVEL RETURNS</t>
        </is>
      </c>
    </row>
    <row r="33">
      <c r="B33" t="inlineStr">
        <is>
          <t>CF for IRR</t>
        </is>
      </c>
      <c r="C33" s="215">
        <f>-'Operating Model'!C14</f>
        <v/>
      </c>
      <c r="D33" s="215">
        <f>C30</f>
        <v/>
      </c>
      <c r="E33" s="215">
        <f>D30</f>
        <v/>
      </c>
      <c r="F33" s="215">
        <f>E30</f>
        <v/>
      </c>
      <c r="G33" s="215">
        <f>F30</f>
        <v/>
      </c>
      <c r="H33" s="215">
        <f>G30</f>
        <v/>
      </c>
      <c r="I33" s="215">
        <f>H30</f>
        <v/>
      </c>
      <c r="J33" s="215">
        <f>I30</f>
        <v/>
      </c>
      <c r="K33" s="215">
        <f>J30</f>
        <v/>
      </c>
      <c r="L33" s="215">
        <f>K30</f>
        <v/>
      </c>
      <c r="M33" s="215">
        <f>L30</f>
        <v/>
      </c>
    </row>
    <row r="35">
      <c r="B35" s="207" t="inlineStr">
        <is>
          <t>Project IRR</t>
        </is>
      </c>
      <c r="C35" s="218">
        <f>IRR(C33:M33)</f>
        <v/>
      </c>
    </row>
    <row r="36">
      <c r="B36" s="207" t="inlineStr">
        <is>
          <t>Equity Multiple</t>
        </is>
      </c>
      <c r="C36" s="219">
        <f>SUM(D33:M33)/(-C33)</f>
        <v/>
      </c>
    </row>
    <row r="37">
      <c r="B37" t="inlineStr">
        <is>
          <t>Year 1 Cash-on-Cash</t>
        </is>
      </c>
      <c r="C37" s="118">
        <f>D33/(-C33)</f>
        <v/>
      </c>
    </row>
    <row r="39">
      <c r="B39" s="207" t="inlineStr">
        <is>
          <t>COMPARISON vs BASE &amp; SCENARIO 3</t>
        </is>
      </c>
    </row>
    <row r="40">
      <c r="C40" s="216" t="inlineStr">
        <is>
          <t>Scenario 4</t>
        </is>
      </c>
      <c r="D40" s="216" t="inlineStr">
        <is>
          <t>Scenario 3</t>
        </is>
      </c>
      <c r="E40" s="216" t="inlineStr">
        <is>
          <t>Base (10-Yr)</t>
        </is>
      </c>
    </row>
    <row r="41">
      <c r="B41" t="inlineStr">
        <is>
          <t>Project IRR</t>
        </is>
      </c>
      <c r="C41" s="118">
        <f>C35</f>
        <v/>
      </c>
      <c r="D41" s="118">
        <f>'Scenario 3 - CVS Yr7 Sale'!C36</f>
        <v/>
      </c>
      <c r="E41" s="118">
        <f>'Land Sale to MF Developer'!C44</f>
        <v/>
      </c>
    </row>
    <row r="42">
      <c r="B42" t="inlineStr">
        <is>
          <t>Equity Multiple</t>
        </is>
      </c>
      <c r="C42" s="120">
        <f>C36</f>
        <v/>
      </c>
      <c r="D42" s="120">
        <f>'Scenario 3 - CVS Yr7 Sale'!C37</f>
        <v/>
      </c>
      <c r="E42" s="120">
        <f>'Land Sale to MF Developer'!C45</f>
        <v/>
      </c>
    </row>
    <row r="44">
      <c r="B44" s="207" t="inlineStr">
        <is>
          <t>NOTES</t>
        </is>
      </c>
    </row>
    <row r="45">
      <c r="B45" s="260" t="inlineStr">
        <is>
          <t>• Contribute the CVS parcel (64,417 SF) at Y7 instead of selling for cash.  Get equity in dev.</t>
        </is>
      </c>
    </row>
    <row r="46">
      <c r="B46" s="260" t="inlineStr">
        <is>
          <t>• CVS contribution value: 64,417 SF × $250/SF = $16.1M (conservative sub-parcel basis).</t>
        </is>
      </c>
    </row>
    <row r="47">
      <c r="B47" s="260" t="inlineStr">
        <is>
          <t>• Held until Y10 (3 years).  Land equity grows at the SUB-PARCEL DEV IRR (pulled live from</t>
        </is>
      </c>
    </row>
    <row r="48">
      <c r="B48" s="260" t="inlineStr">
        <is>
          <t xml:space="preserve">  'MF Dev — CVS Parcel'!C100 — currently ~19.0% based on 135-unit pro forma).</t>
        </is>
      </c>
    </row>
    <row r="49">
      <c r="B49" s="260" t="inlineStr">
        <is>
          <t>• Override C11 manually to flex (e.g., 16% for downside, 21% for upside dev outcome).</t>
        </is>
      </c>
    </row>
    <row r="50">
      <c r="B50" s="260" t="inlineStr">
        <is>
          <t>• Y10 monetization = remaining retail sale ($40M gross) + dev equity (~$27M).</t>
        </is>
      </c>
    </row>
    <row r="51">
      <c r="B51" s="260" t="inlineStr">
        <is>
          <t>• Same as Scenario 3 from Y8 onward (lost CVS rent, same loan).</t>
        </is>
      </c>
    </row>
    <row r="52">
      <c r="B52" s="260" t="inlineStr">
        <is>
          <t>• Profit-share kicker (C12) currently 0% — set to e.g. 0.10 for 10% participation in dev profits.</t>
        </is>
      </c>
    </row>
    <row r="53">
      <c r="B53" s="260" t="inlineStr">
        <is>
          <t>• Assumes liquidity to monetize land equity at Y10.  In practice may require buyout from</t>
        </is>
      </c>
    </row>
    <row r="54">
      <c r="B54" s="260" t="inlineStr">
        <is>
          <t xml:space="preserve">  developer or extension of hold period to 11-12 years for full stabilization.</t>
        </is>
      </c>
    </row>
    <row r="56">
      <c r="B56" s="223" t="n"/>
    </row>
    <row r="58">
      <c r="B58" s="224" t="inlineStr">
        <is>
          <t>Total Equity Invested</t>
        </is>
      </c>
      <c r="C58" s="225">
        <f>'LP Waterfall'!C6</f>
        <v/>
      </c>
    </row>
    <row r="59">
      <c r="B59" s="224" t="inlineStr">
        <is>
          <t>Annual Management Fee (1.25%)</t>
        </is>
      </c>
      <c r="C59" s="225">
        <f>'LP Waterfall'!C8</f>
        <v/>
      </c>
    </row>
    <row r="60">
      <c r="B60" s="224" t="inlineStr">
        <is>
          <t>Pref Return Threshold (1.25x)</t>
        </is>
      </c>
      <c r="C60" s="225">
        <f>'LP Waterfall'!C11</f>
        <v/>
      </c>
    </row>
    <row r="61">
      <c r="B61" s="224" t="inlineStr">
        <is>
          <t>LP Profit Split (above pref)</t>
        </is>
      </c>
      <c r="C61" s="226">
        <f>'LP Waterfall'!C12</f>
        <v/>
      </c>
    </row>
    <row r="62">
      <c r="B62" s="227" t="inlineStr">
        <is>
          <t>LP ANNUAL DISTRIBUTIONS</t>
        </is>
      </c>
    </row>
    <row r="63">
      <c r="C63" s="228" t="inlineStr">
        <is>
          <t>Year 1</t>
        </is>
      </c>
      <c r="D63" s="228" t="inlineStr">
        <is>
          <t>Year 2</t>
        </is>
      </c>
      <c r="E63" s="228" t="inlineStr">
        <is>
          <t>Year 3</t>
        </is>
      </c>
      <c r="F63" s="228" t="inlineStr">
        <is>
          <t>Year 4</t>
        </is>
      </c>
      <c r="G63" s="228" t="inlineStr">
        <is>
          <t>Year 5</t>
        </is>
      </c>
      <c r="H63" s="228" t="inlineStr">
        <is>
          <t>Year 6</t>
        </is>
      </c>
      <c r="I63" s="228" t="inlineStr">
        <is>
          <t>Year 7</t>
        </is>
      </c>
      <c r="J63" s="228" t="inlineStr">
        <is>
          <t>Year 8</t>
        </is>
      </c>
      <c r="K63" s="228" t="inlineStr">
        <is>
          <t>Year 9</t>
        </is>
      </c>
      <c r="L63" s="228" t="inlineStr">
        <is>
          <t>Year 10</t>
        </is>
      </c>
    </row>
    <row r="64">
      <c r="B64" s="224" t="inlineStr">
        <is>
          <t>LP Operating Distribution</t>
        </is>
      </c>
      <c r="C64" s="215">
        <f>MAX(0,(C25+C26)-$C$59)</f>
        <v/>
      </c>
      <c r="D64" s="215">
        <f>MAX(0,(D25+D26)-$C$59)</f>
        <v/>
      </c>
      <c r="E64" s="215">
        <f>MAX(0,(E25+E26)-$C$59)</f>
        <v/>
      </c>
      <c r="F64" s="215">
        <f>MAX(0,(F25+F26)-$C$59)</f>
        <v/>
      </c>
      <c r="G64" s="215">
        <f>MAX(0,(G25+G26)-$C$59)</f>
        <v/>
      </c>
      <c r="H64" s="215">
        <f>MAX(0,(H25+H26)-$C$59)</f>
        <v/>
      </c>
      <c r="I64" s="215">
        <f>MAX(0,(I25+I26)-$C$59)</f>
        <v/>
      </c>
      <c r="J64" s="215">
        <f>MAX(0,(J25+J26)-$C$59)</f>
        <v/>
      </c>
      <c r="K64" s="215">
        <f>MAX(0,(K25+K26)-$C$59)</f>
        <v/>
      </c>
      <c r="L64" s="215">
        <f>MAX(0,(L25+L26)-$C$59)</f>
        <v/>
      </c>
    </row>
    <row r="65">
      <c r="B65" s="224" t="inlineStr">
        <is>
          <t>Refi Cash-Out (Y5)</t>
        </is>
      </c>
      <c r="C65" s="215" t="inlineStr">
        <is>
          <t>0</t>
        </is>
      </c>
      <c r="D65" s="215" t="inlineStr">
        <is>
          <t>0</t>
        </is>
      </c>
      <c r="E65" s="215" t="inlineStr">
        <is>
          <t>0</t>
        </is>
      </c>
      <c r="F65" s="215" t="inlineStr">
        <is>
          <t>0</t>
        </is>
      </c>
      <c r="G65" s="215">
        <f>G29</f>
        <v/>
      </c>
      <c r="H65" s="215" t="inlineStr">
        <is>
          <t>0</t>
        </is>
      </c>
      <c r="I65" s="215" t="inlineStr">
        <is>
          <t>0</t>
        </is>
      </c>
      <c r="J65" s="215" t="inlineStr">
        <is>
          <t>0</t>
        </is>
      </c>
      <c r="K65" s="215" t="inlineStr">
        <is>
          <t>0</t>
        </is>
      </c>
      <c r="L65" s="215" t="inlineStr">
        <is>
          <t>0</t>
        </is>
      </c>
    </row>
    <row r="66">
      <c r="B66" s="224" t="inlineStr">
        <is>
          <t>Y7 (contribution, no cash)</t>
        </is>
      </c>
      <c r="C66" s="215" t="n">
        <v>0</v>
      </c>
      <c r="D66" s="215" t="n">
        <v>0</v>
      </c>
      <c r="E66" s="215" t="n">
        <v>0</v>
      </c>
      <c r="F66" s="215" t="n">
        <v>0</v>
      </c>
      <c r="G66" s="215" t="n">
        <v>0</v>
      </c>
      <c r="H66" s="215" t="n">
        <v>0</v>
      </c>
      <c r="I66" s="215" t="n">
        <v>0</v>
      </c>
      <c r="J66" s="215" t="n">
        <v>0</v>
      </c>
      <c r="K66" s="215" t="n">
        <v>0</v>
      </c>
      <c r="L66" s="215" t="n">
        <v>0</v>
      </c>
    </row>
    <row r="67">
      <c r="B67" s="224" t="inlineStr">
        <is>
          <t>Y10 Remaining Exit (pre-waterfall)</t>
        </is>
      </c>
      <c r="C67" s="215" t="inlineStr">
        <is>
          <t>0</t>
        </is>
      </c>
      <c r="D67" s="215" t="inlineStr">
        <is>
          <t>0</t>
        </is>
      </c>
      <c r="E67" s="215" t="inlineStr">
        <is>
          <t>0</t>
        </is>
      </c>
      <c r="F67" s="215" t="inlineStr">
        <is>
          <t>0</t>
        </is>
      </c>
      <c r="G67" s="215" t="inlineStr">
        <is>
          <t>0</t>
        </is>
      </c>
      <c r="H67" s="215" t="inlineStr">
        <is>
          <t>0</t>
        </is>
      </c>
      <c r="I67" s="215" t="inlineStr">
        <is>
          <t>0</t>
        </is>
      </c>
      <c r="J67" s="215" t="inlineStr">
        <is>
          <t>0</t>
        </is>
      </c>
      <c r="K67" s="215" t="inlineStr">
        <is>
          <t>0</t>
        </is>
      </c>
      <c r="L67" s="215">
        <f>L28</f>
        <v/>
      </c>
    </row>
    <row r="68">
      <c r="B68" s="224" t="inlineStr">
        <is>
          <t>Y10 Dev Equity Monetization</t>
        </is>
      </c>
      <c r="C68" s="215" t="inlineStr">
        <is>
          <t>0</t>
        </is>
      </c>
      <c r="D68" s="215" t="inlineStr">
        <is>
          <t>0</t>
        </is>
      </c>
      <c r="E68" s="215" t="inlineStr">
        <is>
          <t>0</t>
        </is>
      </c>
      <c r="F68" s="215" t="inlineStr">
        <is>
          <t>0</t>
        </is>
      </c>
      <c r="G68" s="215" t="inlineStr">
        <is>
          <t>0</t>
        </is>
      </c>
      <c r="H68" s="215" t="inlineStr">
        <is>
          <t>0</t>
        </is>
      </c>
      <c r="I68" s="215" t="inlineStr">
        <is>
          <t>0</t>
        </is>
      </c>
      <c r="J68" s="215" t="inlineStr">
        <is>
          <t>0</t>
        </is>
      </c>
      <c r="K68" s="215" t="inlineStr">
        <is>
          <t>0</t>
        </is>
      </c>
      <c r="L68" s="215">
        <f>L27</f>
        <v/>
      </c>
    </row>
    <row r="69">
      <c r="B69" s="224" t="inlineStr">
        <is>
          <t>Total Cash from Project (project gross)</t>
        </is>
      </c>
      <c r="C69" s="229">
        <f>SUM(C64:C68)</f>
        <v/>
      </c>
      <c r="D69" s="229">
        <f>SUM(D64:D68)</f>
        <v/>
      </c>
      <c r="E69" s="229">
        <f>SUM(E64:E68)</f>
        <v/>
      </c>
      <c r="F69" s="229">
        <f>SUM(F64:F68)</f>
        <v/>
      </c>
      <c r="G69" s="229">
        <f>SUM(G64:G68)</f>
        <v/>
      </c>
      <c r="H69" s="229">
        <f>SUM(H64:H68)</f>
        <v/>
      </c>
      <c r="I69" s="229">
        <f>SUM(I64:I68)</f>
        <v/>
      </c>
      <c r="J69" s="229">
        <f>SUM(J64:J68)</f>
        <v/>
      </c>
      <c r="K69" s="229">
        <f>SUM(K64:K68)</f>
        <v/>
      </c>
      <c r="L69" s="229">
        <f>SUM(L64:L68)</f>
        <v/>
      </c>
    </row>
    <row r="71">
      <c r="B71" s="223" t="inlineStr">
        <is>
          <t>WATERFALL TIERS  /  Y10 FINAL TRUE-UP</t>
        </is>
      </c>
    </row>
    <row r="72">
      <c r="B72" s="224" t="inlineStr">
        <is>
          <t>Sum of LP Op Dist (Y1-Y10)</t>
        </is>
      </c>
      <c r="C72" s="215">
        <f>SUM(C64:L64)</f>
        <v/>
      </c>
    </row>
    <row r="73">
      <c r="B73" s="224" t="inlineStr">
        <is>
          <t>Refi Cash-Out (Y5)</t>
        </is>
      </c>
      <c r="C73" s="215">
        <f>G65</f>
        <v/>
      </c>
    </row>
    <row r="74">
      <c r="B74" s="224" t="inlineStr">
        <is>
          <t>Y10 Remaining Exit</t>
        </is>
      </c>
      <c r="C74" s="215">
        <f>L67</f>
        <v/>
      </c>
    </row>
    <row r="75">
      <c r="B75" s="224" t="inlineStr">
        <is>
          <t>Y10 Dev Equity Monetization</t>
        </is>
      </c>
      <c r="C75" s="215">
        <f>L68</f>
        <v/>
      </c>
    </row>
    <row r="76">
      <c r="B76" s="224" t="inlineStr">
        <is>
          <t>Total Value Created</t>
        </is>
      </c>
      <c r="C76" s="229">
        <f>SUM(C72:C75)</f>
        <v/>
      </c>
    </row>
    <row r="78">
      <c r="B78" s="224" t="inlineStr">
        <is>
          <t>Tier 1: Return of Capital</t>
        </is>
      </c>
      <c r="C78" s="215">
        <f>MIN(C76,C58)</f>
        <v/>
      </c>
    </row>
    <row r="79">
      <c r="B79" s="224" t="inlineStr">
        <is>
          <t>Tier 2: Preferred Return (to 1.25x)</t>
        </is>
      </c>
      <c r="C79" s="215">
        <f>MIN(MAX(0,C76-C58),C60-C58)</f>
        <v/>
      </c>
    </row>
    <row r="80">
      <c r="B80" s="224" t="inlineStr">
        <is>
          <t>Tier 3 LP: 80% of Excess</t>
        </is>
      </c>
      <c r="C80" s="215">
        <f>MAX(0,C76-C60)*C61</f>
        <v/>
      </c>
    </row>
    <row r="81">
      <c r="B81" s="224" t="inlineStr">
        <is>
          <t>Tier 3 GP: 20% Promote</t>
        </is>
      </c>
      <c r="C81" s="215">
        <f>MAX(0,C76-C60)*(1-C61)</f>
        <v/>
      </c>
    </row>
    <row r="82">
      <c r="B82" s="224" t="inlineStr">
        <is>
          <t>TOTAL LP DISTRIBUTIONS</t>
        </is>
      </c>
      <c r="C82" s="230">
        <f>C78+C79+C80</f>
        <v/>
      </c>
    </row>
    <row r="83">
      <c r="B83" s="224" t="inlineStr">
        <is>
          <t>GP Promote</t>
        </is>
      </c>
      <c r="C83" s="215">
        <f>C81</f>
        <v/>
      </c>
    </row>
    <row r="85">
      <c r="B85" s="223" t="inlineStr">
        <is>
          <t>LP CASH FLOWS  /  IRR</t>
        </is>
      </c>
    </row>
    <row r="86">
      <c r="B86" s="224" t="inlineStr">
        <is>
          <t>CF for LP IRR</t>
        </is>
      </c>
      <c r="C86" s="215">
        <f>-C58</f>
        <v/>
      </c>
      <c r="D86" s="215">
        <f>C64+C65</f>
        <v/>
      </c>
      <c r="E86" s="215">
        <f>D64+D65</f>
        <v/>
      </c>
      <c r="F86" s="215">
        <f>E64+E65</f>
        <v/>
      </c>
      <c r="G86" s="215">
        <f>F64+F65</f>
        <v/>
      </c>
      <c r="H86" s="215">
        <f>G64+G65</f>
        <v/>
      </c>
      <c r="I86" s="215">
        <f>H64+H65</f>
        <v/>
      </c>
      <c r="J86" s="215">
        <f>I64+I65</f>
        <v/>
      </c>
      <c r="K86" s="215">
        <f>J64+J65</f>
        <v/>
      </c>
      <c r="L86" s="215">
        <f>K64+K65</f>
        <v/>
      </c>
      <c r="M86" s="215">
        <f>L64+(C82-SUM(C64:K64)-G65)</f>
        <v/>
      </c>
    </row>
    <row r="88">
      <c r="B88" s="223" t="inlineStr">
        <is>
          <t>LP IRR (Net)</t>
        </is>
      </c>
      <c r="C88" s="231">
        <f>IRR(C86:M86)</f>
        <v/>
      </c>
    </row>
    <row r="89">
      <c r="B89" s="223" t="inlineStr">
        <is>
          <t>LP Equity Multiple</t>
        </is>
      </c>
      <c r="C89" s="232">
        <f>SUM(D86:M86)/(-C86)</f>
        <v/>
      </c>
    </row>
    <row r="90">
      <c r="B90" s="234" t="inlineStr">
        <is>
          <t>LP Avg Cash-on-Cash (incl. refi)</t>
        </is>
      </c>
      <c r="C90" s="235">
        <f>AVERAGE(C64:L64)/$C$58 + (G65/$C$58/10)</f>
        <v/>
      </c>
    </row>
  </sheetData>
  <pageMargins left="0.75" right="0.75" top="1" bottom="1" header="0.5" footer="0.5"/>
</worksheet>
</file>

<file path=xl/worksheets/sheet13.xml><?xml version="1.0" encoding="utf-8"?>
<worksheet xmlns="http://schemas.openxmlformats.org/spreadsheetml/2006/main">
  <sheetPr>
    <outlinePr summaryBelow="1" summaryRight="1"/>
    <pageSetUpPr/>
  </sheetPr>
  <dimension ref="B2:M125"/>
  <sheetViews>
    <sheetView workbookViewId="0">
      <selection activeCell="A1" sqref="A1"/>
    </sheetView>
  </sheetViews>
  <sheetFormatPr baseColWidth="10" defaultColWidth="8.83203125" defaultRowHeight="15"/>
  <cols>
    <col width="2" customWidth="1" style="262" min="1" max="1"/>
    <col width="38" customWidth="1" style="262" min="2" max="2"/>
    <col width="14" customWidth="1" style="262" min="3" max="13"/>
  </cols>
  <sheetData>
    <row r="2" ht="19" customHeight="1" s="262">
      <c r="B2" s="236" t="inlineStr">
        <is>
          <t>MF DEV PRO FORMA — CVS PARCEL ONLY (~135 UNITS)</t>
        </is>
      </c>
      <c r="C2" s="237" t="n"/>
      <c r="D2" s="237" t="n"/>
      <c r="E2" s="237" t="n"/>
      <c r="F2" s="237" t="n"/>
      <c r="G2" s="237" t="n"/>
      <c r="H2" s="237" t="n"/>
      <c r="I2" s="237" t="n"/>
      <c r="J2" s="237" t="n"/>
      <c r="K2" s="237" t="n"/>
      <c r="L2" s="237" t="n"/>
      <c r="M2" s="237" t="n"/>
    </row>
    <row r="3">
      <c r="B3" s="238" t="inlineStr">
        <is>
          <t>Standalone development on the 1.48-acre / 64,417 SF CVS parcel — sub-scale of the full 4.54-ac site.</t>
        </is>
      </c>
    </row>
    <row r="5">
      <c r="B5" s="239" t="inlineStr">
        <is>
          <t>LAND ACQUISITION</t>
        </is>
      </c>
    </row>
    <row r="6">
      <c r="B6" s="240" t="inlineStr">
        <is>
          <t>Land Area (SF)</t>
        </is>
      </c>
      <c r="C6" s="241" t="n">
        <v>64417</v>
      </c>
    </row>
    <row r="7">
      <c r="B7" s="240" t="inlineStr">
        <is>
          <t>Acquisition $/SF</t>
        </is>
      </c>
      <c r="C7" s="242" t="n">
        <v>250</v>
      </c>
    </row>
    <row r="8">
      <c r="B8" s="240" t="inlineStr">
        <is>
          <t>Closing Costs %</t>
        </is>
      </c>
      <c r="C8" s="243" t="n">
        <v>0.015</v>
      </c>
    </row>
    <row r="9">
      <c r="B9" s="240" t="inlineStr">
        <is>
          <t>Land + Closing</t>
        </is>
      </c>
      <c r="C9" s="244">
        <f>C6*C7*(1+C8)</f>
        <v/>
      </c>
    </row>
    <row r="11">
      <c r="B11" s="239" t="inlineStr">
        <is>
          <t>CVS BUYOUT  (lease ends 1/31/2033; assumed naturally vacated)</t>
        </is>
      </c>
    </row>
    <row r="12">
      <c r="B12" s="240" t="inlineStr">
        <is>
          <t>Buyout Cost</t>
        </is>
      </c>
      <c r="C12" s="242" t="n">
        <v>0</v>
      </c>
    </row>
    <row r="13">
      <c r="B13" s="238" t="inlineStr">
        <is>
          <t>Override: set to $2.2M if developer wants earlier vacant possession</t>
        </is>
      </c>
    </row>
    <row r="15">
      <c r="B15" s="239" t="inlineStr">
        <is>
          <t>DEMO &amp; SITE PREP</t>
        </is>
      </c>
    </row>
    <row r="16">
      <c r="B16" s="240" t="inlineStr">
        <is>
          <t>CVS Bldg SF (existing)</t>
        </is>
      </c>
      <c r="C16" s="241" t="n">
        <v>13000</v>
      </c>
    </row>
    <row r="17">
      <c r="B17" s="240" t="inlineStr">
        <is>
          <t>Demo $/SF</t>
        </is>
      </c>
      <c r="C17" s="245" t="n">
        <v>12</v>
      </c>
    </row>
    <row r="18">
      <c r="B18" s="240" t="inlineStr">
        <is>
          <t>Environmental</t>
        </is>
      </c>
      <c r="C18" s="245" t="n">
        <v>100000</v>
      </c>
    </row>
    <row r="19">
      <c r="B19" s="240" t="inlineStr">
        <is>
          <t>Grading &amp; Utilities</t>
        </is>
      </c>
      <c r="C19" s="245" t="n">
        <v>200000</v>
      </c>
    </row>
    <row r="20">
      <c r="B20" s="240" t="inlineStr">
        <is>
          <t>Permitting</t>
        </is>
      </c>
      <c r="C20" s="245" t="n">
        <v>150000</v>
      </c>
    </row>
    <row r="21">
      <c r="B21" s="240" t="inlineStr">
        <is>
          <t>Total Demo</t>
        </is>
      </c>
      <c r="C21" s="244">
        <f>C16*C17+C18+C19+C20</f>
        <v/>
      </c>
    </row>
    <row r="23">
      <c r="B23" s="239" t="inlineStr">
        <is>
          <t>DEVELOPMENT PROGRAM</t>
        </is>
      </c>
    </row>
    <row r="24">
      <c r="B24" s="240" t="inlineStr">
        <is>
          <t>FAR</t>
        </is>
      </c>
      <c r="C24" s="246" t="n">
        <v>3</v>
      </c>
    </row>
    <row r="25">
      <c r="B25" s="240" t="inlineStr">
        <is>
          <t>Developable %</t>
        </is>
      </c>
      <c r="C25" s="243" t="n">
        <v>0.7</v>
      </c>
    </row>
    <row r="26">
      <c r="B26" s="240" t="inlineStr">
        <is>
          <t>Gross Buildable</t>
        </is>
      </c>
      <c r="C26" s="241">
        <f>C6*C25*C24</f>
        <v/>
      </c>
    </row>
    <row r="27">
      <c r="B27" s="240" t="inlineStr">
        <is>
          <t>Efficiency</t>
        </is>
      </c>
      <c r="C27" s="243" t="n">
        <v>0.85</v>
      </c>
    </row>
    <row r="28">
      <c r="B28" s="240" t="inlineStr">
        <is>
          <t>Net Rentable</t>
        </is>
      </c>
      <c r="C28" s="241">
        <f>C26*C27</f>
        <v/>
      </c>
    </row>
    <row r="29">
      <c r="B29" s="240" t="inlineStr">
        <is>
          <t>Retail (% of floor)</t>
        </is>
      </c>
      <c r="C29" s="247" t="n">
        <v>0.15</v>
      </c>
    </row>
    <row r="30">
      <c r="B30" s="240" t="inlineStr">
        <is>
          <t>Retail SF</t>
        </is>
      </c>
      <c r="C30" s="241">
        <f>C28*C29</f>
        <v/>
      </c>
    </row>
    <row r="31">
      <c r="B31" s="240" t="inlineStr">
        <is>
          <t>MF Net Rentable</t>
        </is>
      </c>
      <c r="C31" s="241">
        <f>C28-C30</f>
        <v/>
      </c>
    </row>
    <row r="32">
      <c r="B32" s="240" t="inlineStr">
        <is>
          <t>Avg Unit SF</t>
        </is>
      </c>
      <c r="C32" s="241" t="n">
        <v>725</v>
      </c>
    </row>
    <row r="33">
      <c r="B33" s="240" t="inlineStr">
        <is>
          <t>Total MF Units</t>
        </is>
      </c>
      <c r="C33" s="248">
        <f>ROUND(C31/C32,0)</f>
        <v/>
      </c>
    </row>
    <row r="35">
      <c r="B35" s="239" t="inlineStr">
        <is>
          <t>CONSTRUCTION  /  HARD + SOFT</t>
        </is>
      </c>
    </row>
    <row r="36">
      <c r="B36" s="240" t="inlineStr">
        <is>
          <t>Hard Cost $/SF (smaller project premium)</t>
        </is>
      </c>
      <c r="C36" s="242" t="n">
        <v>235</v>
      </c>
    </row>
    <row r="37">
      <c r="B37" s="240" t="inlineStr">
        <is>
          <t>Total Hard</t>
        </is>
      </c>
      <c r="C37" s="245">
        <f>C26*C36</f>
        <v/>
      </c>
    </row>
    <row r="38">
      <c r="B38" s="240" t="inlineStr">
        <is>
          <t>Soft (22% of hard)</t>
        </is>
      </c>
      <c r="C38" s="245">
        <f>C37*0.22</f>
        <v/>
      </c>
    </row>
    <row r="39">
      <c r="B39" s="240" t="inlineStr">
        <is>
          <t>FF&amp;E ($5K/unit)</t>
        </is>
      </c>
      <c r="C39" s="245">
        <f>C33*5000</f>
        <v/>
      </c>
    </row>
    <row r="40">
      <c r="B40" s="240" t="inlineStr">
        <is>
          <t>Dev Fee (4%)</t>
        </is>
      </c>
      <c r="C40" s="245">
        <f>(C37+C38)*0.04</f>
        <v/>
      </c>
    </row>
    <row r="41">
      <c r="B41" s="240" t="inlineStr">
        <is>
          <t>Contingency (5%)</t>
        </is>
      </c>
      <c r="C41" s="245">
        <f>C37*0.05</f>
        <v/>
      </c>
    </row>
    <row r="42">
      <c r="B42" s="240" t="inlineStr">
        <is>
          <t>Total Construction</t>
        </is>
      </c>
      <c r="C42" s="244">
        <f>SUM(C37:C41)</f>
        <v/>
      </c>
    </row>
    <row r="44">
      <c r="B44" s="239" t="inlineStr">
        <is>
          <t>TOTAL DEVELOPMENT COST</t>
        </is>
      </c>
    </row>
    <row r="45">
      <c r="B45" s="240" t="inlineStr">
        <is>
          <t>Const Loan Rate</t>
        </is>
      </c>
      <c r="C45" s="249" t="n">
        <v>0.07000000000000001</v>
      </c>
    </row>
    <row r="46">
      <c r="B46" s="240" t="inlineStr">
        <is>
          <t>Avg Draw (yrs)</t>
        </is>
      </c>
      <c r="C46" s="250" t="n">
        <v>1.5</v>
      </c>
    </row>
    <row r="47">
      <c r="B47" s="240" t="inlineStr">
        <is>
          <t>Carry Costs</t>
        </is>
      </c>
      <c r="C47" s="245">
        <f>C42*0.55*C45*C46</f>
        <v/>
      </c>
    </row>
    <row r="48">
      <c r="B48" s="240" t="inlineStr">
        <is>
          <t>TOTAL DEV COST</t>
        </is>
      </c>
      <c r="C48" s="244">
        <f>C9+C12+C21+C42+C47</f>
        <v/>
      </c>
    </row>
    <row r="49">
      <c r="B49" s="240" t="inlineStr">
        <is>
          <t>Cost / Unit</t>
        </is>
      </c>
      <c r="C49" s="244">
        <f>C48/C33</f>
        <v/>
      </c>
    </row>
    <row r="51">
      <c r="B51" s="239" t="inlineStr">
        <is>
          <t>FINANCING</t>
        </is>
      </c>
    </row>
    <row r="52">
      <c r="B52" s="240" t="inlineStr">
        <is>
          <t>LTC</t>
        </is>
      </c>
      <c r="C52" s="243" t="n">
        <v>0.65</v>
      </c>
    </row>
    <row r="53">
      <c r="B53" s="240" t="inlineStr">
        <is>
          <t>Loan</t>
        </is>
      </c>
      <c r="C53" s="245">
        <f>C48*C52</f>
        <v/>
      </c>
    </row>
    <row r="54">
      <c r="B54" s="240" t="inlineStr">
        <is>
          <t>Perm Rate</t>
        </is>
      </c>
      <c r="C54" s="249" t="n">
        <v>0.06</v>
      </c>
    </row>
    <row r="55">
      <c r="B55" s="240" t="inlineStr">
        <is>
          <t>Amortization (yrs)</t>
        </is>
      </c>
      <c r="C55" s="251" t="n">
        <v>30</v>
      </c>
    </row>
    <row r="56">
      <c r="B56" s="240" t="inlineStr">
        <is>
          <t>Annual DS</t>
        </is>
      </c>
      <c r="C56" s="245">
        <f>PMT(C54/12,C55*12,-C53)*12</f>
        <v/>
      </c>
    </row>
    <row r="57">
      <c r="B57" s="240" t="inlineStr">
        <is>
          <t>Equity Required</t>
        </is>
      </c>
      <c r="C57" s="244">
        <f>C48-C53</f>
        <v/>
      </c>
    </row>
    <row r="59">
      <c r="B59" s="239" t="inlineStr">
        <is>
          <t>STABILIZED REVENUE</t>
        </is>
      </c>
    </row>
    <row r="60">
      <c r="B60" s="240" t="inlineStr">
        <is>
          <t>MF Rent $/SF/Mo</t>
        </is>
      </c>
      <c r="C60" s="252" t="n">
        <v>4.9</v>
      </c>
    </row>
    <row r="61">
      <c r="B61" s="240" t="inlineStr">
        <is>
          <t>Rent / Unit / Mo</t>
        </is>
      </c>
      <c r="C61" s="245">
        <f>C60*C32</f>
        <v/>
      </c>
    </row>
    <row r="62">
      <c r="B62" s="240" t="inlineStr">
        <is>
          <t>MF GPR</t>
        </is>
      </c>
      <c r="C62" s="245">
        <f>C61*C33*12</f>
        <v/>
      </c>
    </row>
    <row r="63">
      <c r="B63" s="240" t="inlineStr">
        <is>
          <t>Vacancy</t>
        </is>
      </c>
      <c r="C63" s="243" t="n">
        <v>0.05</v>
      </c>
    </row>
    <row r="64">
      <c r="B64" s="240" t="inlineStr">
        <is>
          <t>Loss to Lease</t>
        </is>
      </c>
      <c r="C64" s="243" t="n">
        <v>0.02</v>
      </c>
    </row>
    <row r="65">
      <c r="B65" s="240" t="inlineStr">
        <is>
          <t>Other Inc ($/unit)</t>
        </is>
      </c>
      <c r="C65" s="245" t="n">
        <v>2200</v>
      </c>
    </row>
    <row r="66">
      <c r="B66" s="240" t="inlineStr">
        <is>
          <t>MF EGI</t>
        </is>
      </c>
      <c r="C66" s="245">
        <f>C62*(1-C63-C64)+C33*C65</f>
        <v/>
      </c>
    </row>
    <row r="67">
      <c r="B67" s="240" t="inlineStr">
        <is>
          <t>Retail NNN $/SF</t>
        </is>
      </c>
      <c r="C67" s="245" t="n">
        <v>45</v>
      </c>
    </row>
    <row r="68">
      <c r="B68" s="240" t="inlineStr">
        <is>
          <t>Retail Vacancy</t>
        </is>
      </c>
      <c r="C68" s="243" t="n">
        <v>0.05</v>
      </c>
    </row>
    <row r="69">
      <c r="B69" s="240" t="inlineStr">
        <is>
          <t>Retail EGI</t>
        </is>
      </c>
      <c r="C69" s="245">
        <f>C30*C67*(1-C68)</f>
        <v/>
      </c>
    </row>
    <row r="70">
      <c r="B70" s="240" t="inlineStr">
        <is>
          <t>Total EGI</t>
        </is>
      </c>
      <c r="C70" s="244">
        <f>C66+C69</f>
        <v/>
      </c>
    </row>
    <row r="72">
      <c r="B72" s="239" t="inlineStr">
        <is>
          <t>OPERATING EXPENSES</t>
        </is>
      </c>
    </row>
    <row r="73">
      <c r="B73" s="240" t="inlineStr">
        <is>
          <t>Mgmt (3.5%)</t>
        </is>
      </c>
      <c r="C73" s="245">
        <f>C70*0.035</f>
        <v/>
      </c>
    </row>
    <row r="74">
      <c r="B74" s="240" t="inlineStr">
        <is>
          <t>Property Taxes ($/NRA SF)</t>
        </is>
      </c>
      <c r="C74" s="245">
        <f>C28*12.35</f>
        <v/>
      </c>
    </row>
    <row r="75">
      <c r="B75" s="240" t="inlineStr">
        <is>
          <t>Insurance ($/unit)</t>
        </is>
      </c>
      <c r="C75" s="245">
        <f>C33*1985</f>
        <v/>
      </c>
    </row>
    <row r="76">
      <c r="B76" s="240" t="inlineStr">
        <is>
          <t>R&amp;M ($/unit)</t>
        </is>
      </c>
      <c r="C76" s="245">
        <f>C33*1325</f>
        <v/>
      </c>
    </row>
    <row r="77">
      <c r="B77" s="240" t="inlineStr">
        <is>
          <t>G&amp;A</t>
        </is>
      </c>
      <c r="C77" s="245" t="n">
        <v>175000</v>
      </c>
    </row>
    <row r="78">
      <c r="B78" s="240" t="inlineStr">
        <is>
          <t>Marketing ($/unit)</t>
        </is>
      </c>
      <c r="C78" s="245">
        <f>C33*500</f>
        <v/>
      </c>
    </row>
    <row r="79">
      <c r="B79" s="240" t="inlineStr">
        <is>
          <t>Reserves ($/unit)</t>
        </is>
      </c>
      <c r="C79" s="245">
        <f>C33*350</f>
        <v/>
      </c>
    </row>
    <row r="80">
      <c r="B80" s="240" t="inlineStr">
        <is>
          <t>Total OpEx</t>
        </is>
      </c>
      <c r="C80" s="244">
        <f>SUM(C73:C79)</f>
        <v/>
      </c>
    </row>
    <row r="82">
      <c r="B82" s="239" t="inlineStr">
        <is>
          <t>NOI / YIELD / VALUE</t>
        </is>
      </c>
    </row>
    <row r="83">
      <c r="B83" s="240" t="inlineStr">
        <is>
          <t>Net Operating Income</t>
        </is>
      </c>
      <c r="C83" s="244">
        <f>C70-C80</f>
        <v/>
      </c>
    </row>
    <row r="84">
      <c r="B84" s="240" t="inlineStr">
        <is>
          <t>Dev Yield (NOI / Cost)</t>
        </is>
      </c>
      <c r="C84" s="253">
        <f>C83/C48</f>
        <v/>
      </c>
    </row>
    <row r="85">
      <c r="B85" s="240" t="inlineStr">
        <is>
          <t>Exit Cap</t>
        </is>
      </c>
      <c r="C85" s="254" t="n">
        <v>0.05</v>
      </c>
    </row>
    <row r="86">
      <c r="B86" s="240" t="inlineStr">
        <is>
          <t>Stabilized Value</t>
        </is>
      </c>
      <c r="C86" s="244">
        <f>C83/C85</f>
        <v/>
      </c>
    </row>
    <row r="87">
      <c r="B87" s="240" t="inlineStr">
        <is>
          <t>Total Profit</t>
        </is>
      </c>
      <c r="C87" s="245">
        <f>C86-C48</f>
        <v/>
      </c>
    </row>
    <row r="88">
      <c r="B88" s="240" t="inlineStr">
        <is>
          <t>Profit Margin</t>
        </is>
      </c>
      <c r="C88" s="243">
        <f>C87/C48</f>
        <v/>
      </c>
    </row>
    <row r="89">
      <c r="B89" s="240" t="inlineStr">
        <is>
          <t>Value / Unit</t>
        </is>
      </c>
      <c r="C89" s="245">
        <f>C86/C33</f>
        <v/>
      </c>
    </row>
    <row r="91">
      <c r="B91" s="239" t="inlineStr">
        <is>
          <t>BUYER LEVERAGED IRR  /  7-YEAR HOLD</t>
        </is>
      </c>
    </row>
    <row r="92">
      <c r="C92" s="255" t="inlineStr">
        <is>
          <t>Y0</t>
        </is>
      </c>
      <c r="D92" s="255" t="inlineStr">
        <is>
          <t>Y1</t>
        </is>
      </c>
      <c r="E92" s="255" t="inlineStr">
        <is>
          <t>Y2</t>
        </is>
      </c>
      <c r="F92" s="255" t="inlineStr">
        <is>
          <t>Y3</t>
        </is>
      </c>
      <c r="G92" s="255" t="inlineStr">
        <is>
          <t>Y4</t>
        </is>
      </c>
      <c r="H92" s="255" t="inlineStr">
        <is>
          <t>Y5</t>
        </is>
      </c>
      <c r="I92" s="255" t="inlineStr">
        <is>
          <t>Y6</t>
        </is>
      </c>
      <c r="J92" s="255" t="inlineStr">
        <is>
          <t>Y7</t>
        </is>
      </c>
    </row>
    <row r="93">
      <c r="B93" s="240" t="inlineStr">
        <is>
          <t>Predev Equity Draw</t>
        </is>
      </c>
      <c r="C93" s="215">
        <f>-C57*0.32</f>
        <v/>
      </c>
    </row>
    <row r="94">
      <c r="B94" s="240" t="inlineStr">
        <is>
          <t>Construction Equity Draw</t>
        </is>
      </c>
      <c r="D94" s="215">
        <f>-C57*0.68</f>
        <v/>
      </c>
    </row>
    <row r="95">
      <c r="B95" s="240" t="inlineStr">
        <is>
          <t>Stabilized NOI (3% growth)</t>
        </is>
      </c>
      <c r="F95" s="215">
        <f>C83*(1.03)^0</f>
        <v/>
      </c>
      <c r="G95" s="215">
        <f>C83*(1.03)^1</f>
        <v/>
      </c>
      <c r="H95" s="215">
        <f>C83*(1.03)^2</f>
        <v/>
      </c>
      <c r="I95" s="215">
        <f>C83*(1.03)^3</f>
        <v/>
      </c>
      <c r="J95" s="215">
        <f>C83*(1.03)^4</f>
        <v/>
      </c>
    </row>
    <row r="96">
      <c r="B96" s="240" t="inlineStr">
        <is>
          <t>Less: Debt Service</t>
        </is>
      </c>
      <c r="F96" s="215">
        <f>-C56</f>
        <v/>
      </c>
      <c r="G96" s="215">
        <f>-C56</f>
        <v/>
      </c>
      <c r="H96" s="215">
        <f>-C56</f>
        <v/>
      </c>
      <c r="I96" s="215">
        <f>-C56</f>
        <v/>
      </c>
      <c r="J96" s="215">
        <f>-C56</f>
        <v/>
      </c>
    </row>
    <row r="97">
      <c r="B97" s="240" t="inlineStr">
        <is>
          <t>Exit Proceeds (Y7)</t>
        </is>
      </c>
      <c r="J97" s="215">
        <f>C86*(1.03)^4-C53*0.85</f>
        <v/>
      </c>
    </row>
    <row r="98">
      <c r="B98" s="255" t="inlineStr">
        <is>
          <t>BUYER TOTAL CASH FLOW</t>
        </is>
      </c>
      <c r="C98" s="256">
        <f>SUM(C93:C97)</f>
        <v/>
      </c>
      <c r="D98" s="256">
        <f>SUM(D93:D97)</f>
        <v/>
      </c>
      <c r="E98" s="256">
        <f>SUM(E93:E97)</f>
        <v/>
      </c>
      <c r="F98" s="256">
        <f>SUM(F93:F97)</f>
        <v/>
      </c>
      <c r="G98" s="256">
        <f>SUM(G93:G97)</f>
        <v/>
      </c>
      <c r="H98" s="256">
        <f>SUM(H93:H97)</f>
        <v/>
      </c>
      <c r="I98" s="256">
        <f>SUM(I93:I97)</f>
        <v/>
      </c>
      <c r="J98" s="256">
        <f>SUM(J93:J97)</f>
        <v/>
      </c>
    </row>
    <row r="100" ht="16" customHeight="1" s="262">
      <c r="B100" s="257" t="inlineStr">
        <is>
          <t>BUYER LEVERAGED IRR</t>
        </is>
      </c>
      <c r="C100" s="258">
        <f>IRR(C98:J98)</f>
        <v/>
      </c>
    </row>
    <row r="101" ht="16" customHeight="1" s="262">
      <c r="B101" s="240" t="inlineStr">
        <is>
          <t>Buyer Equity Multiple</t>
        </is>
      </c>
      <c r="C101" s="259">
        <f>SUMIF(C98:J98,"&gt;0")/-SUMIF(C98:J98,"&lt;0")</f>
        <v/>
      </c>
    </row>
    <row r="103">
      <c r="B103" s="239" t="inlineStr">
        <is>
          <t>COMPARISON vs FULL-SITE PRO FORMA</t>
        </is>
      </c>
    </row>
    <row r="104">
      <c r="C104" s="255" t="inlineStr">
        <is>
          <t>CVS Parcel</t>
        </is>
      </c>
      <c r="D104" s="255" t="inlineStr">
        <is>
          <t>Full Site</t>
        </is>
      </c>
      <c r="E104" s="255" t="inlineStr">
        <is>
          <t>Δ</t>
        </is>
      </c>
    </row>
    <row r="105">
      <c r="B105" s="240" t="inlineStr">
        <is>
          <t>Land Area (SF)</t>
        </is>
      </c>
      <c r="C105" s="215">
        <f>C6</f>
        <v/>
      </c>
      <c r="D105" s="215">
        <f>'Land Sale to MF Developer'!C52</f>
        <v/>
      </c>
      <c r="E105" s="215">
        <f>C105-D105</f>
        <v/>
      </c>
    </row>
    <row r="106">
      <c r="B106" s="240" t="inlineStr">
        <is>
          <t>MF Units</t>
        </is>
      </c>
      <c r="C106" s="215">
        <f>C33</f>
        <v/>
      </c>
      <c r="D106" s="215">
        <f>'Land Sale to MF Developer'!C84</f>
        <v/>
      </c>
      <c r="E106" s="215">
        <f>C106-D106</f>
        <v/>
      </c>
    </row>
    <row r="107">
      <c r="B107" s="240" t="inlineStr">
        <is>
          <t>Total Dev Cost</t>
        </is>
      </c>
      <c r="C107" s="215">
        <f>C48</f>
        <v/>
      </c>
      <c r="D107" s="215">
        <f>'Land Sale to MF Developer'!C99</f>
        <v/>
      </c>
      <c r="E107" s="215">
        <f>C107-D107</f>
        <v/>
      </c>
    </row>
    <row r="108">
      <c r="B108" s="240" t="inlineStr">
        <is>
          <t>Cost / Unit</t>
        </is>
      </c>
      <c r="C108" s="215">
        <f>C49</f>
        <v/>
      </c>
      <c r="D108" s="215">
        <f>'Land Sale to MF Developer'!C100</f>
        <v/>
      </c>
      <c r="E108" s="215">
        <f>C108-D108</f>
        <v/>
      </c>
    </row>
    <row r="109">
      <c r="B109" s="240" t="inlineStr">
        <is>
          <t>Stabilized NOI</t>
        </is>
      </c>
      <c r="C109" s="215">
        <f>C83</f>
        <v/>
      </c>
      <c r="D109" s="215">
        <f>'Land Sale to MF Developer'!C134</f>
        <v/>
      </c>
      <c r="E109" s="215">
        <f>C109-D109</f>
        <v/>
      </c>
    </row>
    <row r="110">
      <c r="B110" s="240" t="inlineStr">
        <is>
          <t>Stabilized Value</t>
        </is>
      </c>
      <c r="C110" s="215">
        <f>C86</f>
        <v/>
      </c>
      <c r="D110" s="215">
        <f>'Land Sale to MF Developer'!C154</f>
        <v/>
      </c>
      <c r="E110" s="215">
        <f>C110-D110</f>
        <v/>
      </c>
    </row>
    <row r="111">
      <c r="B111" s="240" t="inlineStr">
        <is>
          <t>Profit Margin</t>
        </is>
      </c>
      <c r="C111" s="118">
        <f>C88</f>
        <v/>
      </c>
      <c r="D111" s="118">
        <f>'Land Sale to MF Developer'!C156</f>
        <v/>
      </c>
      <c r="E111" s="118">
        <f>C111-D111</f>
        <v/>
      </c>
    </row>
    <row r="112">
      <c r="B112" s="240" t="inlineStr">
        <is>
          <t>Buyer IRR</t>
        </is>
      </c>
      <c r="C112" s="118">
        <f>C100</f>
        <v/>
      </c>
      <c r="D112" s="118">
        <f>'Land Sale to MF Developer'!C150</f>
        <v/>
      </c>
      <c r="E112" s="118">
        <f>C112-D112</f>
        <v/>
      </c>
    </row>
    <row r="113">
      <c r="B113" s="240" t="inlineStr">
        <is>
          <t>Buyer EM</t>
        </is>
      </c>
      <c r="C113" s="120">
        <f>C101</f>
        <v/>
      </c>
      <c r="D113" s="120">
        <f>'Land Sale to MF Developer'!C151</f>
        <v/>
      </c>
      <c r="E113" s="120">
        <f>C113-D113</f>
        <v/>
      </c>
    </row>
    <row r="116">
      <c r="B116" s="239" t="inlineStr">
        <is>
          <t>NOTES</t>
        </is>
      </c>
    </row>
    <row r="117">
      <c r="B117" s="238" t="inlineStr">
        <is>
          <t>• Sub-parcel pro forma: 1.48 acres / 64,417 SF, supporting ~135 units.</t>
        </is>
      </c>
    </row>
    <row r="118">
      <c r="B118" s="238" t="inlineStr">
        <is>
          <t>• Same MF rent assumptions ($4.90/SF/mo), exit cap (5.0%), and submarket fundamentals.</t>
        </is>
      </c>
    </row>
    <row r="119">
      <c r="B119" s="238" t="inlineStr">
        <is>
          <t>• Hard cost bumped to $235/SF (vs $220 full-site) for smaller-scale inefficiency.</t>
        </is>
      </c>
    </row>
    <row r="120">
      <c r="B120" s="238" t="inlineStr">
        <is>
          <t>• Retail program reduced to 15% of floor (vs 20% full-site).</t>
        </is>
      </c>
    </row>
    <row r="121">
      <c r="B121" s="238" t="inlineStr">
        <is>
          <t>• G&amp;A absolute lower ($175K vs $269K full-site) — fewer units to support overhead.</t>
        </is>
      </c>
    </row>
    <row r="122">
      <c r="B122" s="238" t="inlineStr">
        <is>
          <t>• CVS buyout = $0 (lease expires 1/31/2033 ≈ Y7 of our hold; assumed naturally vacated).</t>
        </is>
      </c>
    </row>
    <row r="123">
      <c r="B123" s="238" t="inlineStr">
        <is>
          <t>• Override C12 to $2.2M if buyer wants earlier vacant possession.</t>
        </is>
      </c>
    </row>
    <row r="124">
      <c r="B124" s="238" t="inlineStr">
        <is>
          <t>• Buyer IRR computed on a simplified 7-yr hold (Y0 predev → Y7 exit) at base assumptions.</t>
        </is>
      </c>
    </row>
    <row r="125">
      <c r="B125" s="238" t="inlineStr">
        <is>
          <t>• Yellow-shaded inputs at C7, C12, C24, C29, C36, C60, C85 are the key flex points.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30"/>
  <sheetViews>
    <sheetView tabSelected="1" zoomScaleNormal="100" workbookViewId="0">
      <selection activeCell="A1" sqref="A1"/>
    </sheetView>
  </sheetViews>
  <sheetFormatPr baseColWidth="10" defaultColWidth="8.83203125" defaultRowHeight="15"/>
  <cols>
    <col width="2" customWidth="1" style="262" min="1" max="1"/>
    <col width="32" customWidth="1" style="262" min="2" max="2"/>
    <col width="22" customWidth="1" style="262" min="3" max="4"/>
    <col width="13" customWidth="1" style="262" min="5" max="5"/>
    <col width="22" customWidth="1" style="262" min="6" max="6"/>
  </cols>
  <sheetData>
    <row r="1" ht="22" customHeight="1" s="262">
      <c r="B1" s="274" t="inlineStr">
        <is>
          <t xml:space="preserve">  SOURCE OF TRUTH  ·  Drives Return Scenarios + Belay decks  ·  Version 2026.05.20  ·  Base downside = 5.50% exit cap (Scenario 2B)</t>
        </is>
      </c>
    </row>
    <row r="2" ht="19.5" customHeight="1" s="262">
      <c r="A2" t="inlineStr">
        <is>
          <t>s</t>
        </is>
      </c>
    </row>
    <row r="3" ht="15" customHeight="1" s="262">
      <c r="A3" s="1" t="n"/>
      <c r="B3" s="2" t="inlineStr">
        <is>
          <t>SHOPPES AT SAN FELIPE</t>
        </is>
      </c>
      <c r="C3" s="1" t="n"/>
      <c r="D3" s="1" t="n"/>
      <c r="E3" s="1" t="n"/>
      <c r="F3" s="1" t="n"/>
    </row>
    <row r="4" ht="15" customHeight="1" s="262">
      <c r="A4" s="1" t="n"/>
      <c r="B4" s="3" t="inlineStr">
        <is>
          <t>1415 South Voss Rd, Houston, TX 77057</t>
        </is>
      </c>
      <c r="C4" s="1" t="n"/>
      <c r="D4" s="1" t="n"/>
      <c r="E4" s="1" t="n"/>
      <c r="F4" s="1" t="n"/>
    </row>
    <row r="5">
      <c r="A5" s="1" t="n"/>
      <c r="B5" s="3" t="inlineStr">
        <is>
          <t>48,196 SF Retail  |  197,762 SF Land  |  NEC San Felipe &amp; S. Voss</t>
        </is>
      </c>
      <c r="C5" s="1" t="n"/>
      <c r="D5" s="1" t="n"/>
      <c r="E5" s="1" t="n"/>
      <c r="F5" s="1" t="n"/>
    </row>
    <row r="6" ht="15" customHeight="1" s="262"/>
    <row r="7" ht="15" customHeight="1" s="262">
      <c r="B7" s="4" t="inlineStr">
        <is>
          <t>ACQUISITION</t>
        </is>
      </c>
      <c r="C7" s="5" t="n"/>
      <c r="D7" s="5" t="n"/>
    </row>
    <row r="8" ht="15" customHeight="1" s="262">
      <c r="B8" s="6" t="inlineStr">
        <is>
          <t>Purchase Price</t>
        </is>
      </c>
      <c r="C8" s="7">
        <f>'Operating Model'!C6</f>
        <v/>
      </c>
      <c r="D8" s="8">
        <f>'Operating Model'!C9</f>
        <v/>
      </c>
    </row>
    <row r="9" ht="15" customHeight="1" s="262">
      <c r="B9" s="6" t="inlineStr">
        <is>
          <t>Total Basis</t>
        </is>
      </c>
      <c r="C9" s="7">
        <f>'Operating Model'!C8</f>
        <v/>
      </c>
      <c r="D9" s="9">
        <f>'Operating Model'!C14</f>
        <v/>
      </c>
    </row>
    <row r="10" ht="15" customHeight="1" s="262">
      <c r="B10" s="6" t="inlineStr">
        <is>
          <t>Rate / IO Period</t>
        </is>
      </c>
      <c r="C10" s="8">
        <f>'Operating Model'!C11</f>
        <v/>
      </c>
      <c r="D10" s="10">
        <f>'Operating Model'!C12</f>
        <v/>
      </c>
    </row>
    <row r="11">
      <c r="B11" s="6" t="inlineStr">
        <is>
          <t>Going-in Cap</t>
        </is>
      </c>
      <c r="C11" s="11">
        <f>'Operating Model'!C15</f>
        <v/>
      </c>
      <c r="D11" s="12">
        <f>'Operating Model'!C21/'Operating Model'!C16</f>
        <v/>
      </c>
    </row>
    <row r="12" ht="15" customHeight="1" s="262"/>
    <row r="13" ht="15" customHeight="1" s="262">
      <c r="B13" s="5" t="n"/>
      <c r="C13" s="4" t="n"/>
      <c r="D13" s="4" t="inlineStr">
        <is>
          <t>EXIT SCENARIO</t>
        </is>
      </c>
      <c r="E13" s="5" t="n"/>
      <c r="F13" s="4" t="inlineStr">
        <is>
          <t>NEXT BUYER (MF DEV)</t>
        </is>
      </c>
    </row>
    <row r="14">
      <c r="B14" s="13" t="n"/>
      <c r="C14" s="14" t="n"/>
      <c r="D14" s="14" t="inlineStr">
        <is>
          <t>Land Sale to MF Developer @ $300/SF</t>
        </is>
      </c>
      <c r="F14" s="15" t="inlineStr">
        <is>
          <t>Combined Best Case</t>
        </is>
      </c>
    </row>
    <row r="15" ht="15" customHeight="1" s="262"/>
    <row r="16" ht="16.5" customHeight="1" s="262">
      <c r="B16" s="4" t="inlineStr">
        <is>
          <t>YOUR RETURNS (SELLER)</t>
        </is>
      </c>
      <c r="C16" s="5" t="n"/>
      <c r="D16" s="5" t="n"/>
      <c r="E16" s="16" t="inlineStr">
        <is>
          <t>Land $/SF</t>
        </is>
      </c>
      <c r="F16" s="7">
        <f>'Land Sale to MF Developer'!C28</f>
        <v/>
      </c>
    </row>
    <row r="17" ht="15" customHeight="1" s="262">
      <c r="B17" s="17" t="inlineStr">
        <is>
          <t>Leveraged IRR</t>
        </is>
      </c>
      <c r="C17" s="18" t="n"/>
      <c r="D17" s="18">
        <f>'Land Sale to MF Developer'!C44</f>
        <v/>
      </c>
      <c r="E17" s="16" t="inlineStr">
        <is>
          <t>Total Dev Cost</t>
        </is>
      </c>
      <c r="F17" s="7">
        <f>'Land Sale to MF Developer'!C99</f>
        <v/>
      </c>
    </row>
    <row r="18" ht="15" customHeight="1" s="262">
      <c r="B18" s="17" t="inlineStr">
        <is>
          <t>Equity Multiple</t>
        </is>
      </c>
      <c r="C18" s="19" t="n"/>
      <c r="D18" s="19">
        <f>'Land Sale to MF Developer'!C45</f>
        <v/>
      </c>
      <c r="E18" s="16" t="inlineStr">
        <is>
          <t>MF Units</t>
        </is>
      </c>
      <c r="F18" s="20">
        <f>'Land Sale to MF Developer'!C84</f>
        <v/>
      </c>
    </row>
    <row r="19" ht="15" customHeight="1" s="262">
      <c r="B19" s="6" t="inlineStr">
        <is>
          <t>Cash-on-Cash (Yr 1)</t>
        </is>
      </c>
      <c r="C19" s="8" t="n"/>
      <c r="D19" s="8">
        <f>'Land Sale to MF Developer'!C46</f>
        <v/>
      </c>
      <c r="E19" s="16" t="inlineStr">
        <is>
          <t>FAR / Unit SF</t>
        </is>
      </c>
      <c r="F19" s="21" t="inlineStr">
        <is>
          <t>3.0 / 725</t>
        </is>
      </c>
    </row>
    <row r="20" ht="15" customHeight="1" s="262">
      <c r="E20" s="16" t="inlineStr">
        <is>
          <t>MF Rent $/SF/Mo</t>
        </is>
      </c>
      <c r="F20" s="22">
        <f>'Land Sale to MF Developer'!C111</f>
        <v/>
      </c>
    </row>
    <row r="21" ht="15" customHeight="1" s="262">
      <c r="B21" s="4" t="inlineStr">
        <is>
          <t>EXIT (YEAR 10)</t>
        </is>
      </c>
      <c r="C21" s="5" t="n"/>
      <c r="D21" s="5" t="n"/>
      <c r="E21" s="16" t="inlineStr">
        <is>
          <t>Rent/Unit/Month</t>
        </is>
      </c>
      <c r="F21" s="7">
        <f>'Land Sale to MF Developer'!C112</f>
        <v/>
      </c>
    </row>
    <row r="22" ht="15" customHeight="1" s="262">
      <c r="B22" s="6" t="inlineStr">
        <is>
          <t>Gross Sale Price</t>
        </is>
      </c>
      <c r="C22" s="7" t="n"/>
      <c r="D22" s="7">
        <f>'Land Sale to MF Developer'!C47</f>
        <v/>
      </c>
      <c r="E22" s="16" t="inlineStr">
        <is>
          <t>Retail SF</t>
        </is>
      </c>
      <c r="F22" s="20">
        <f>'Land Sale to MF Developer'!C81</f>
        <v/>
      </c>
    </row>
    <row r="23" ht="15" customHeight="1" s="262">
      <c r="B23" s="6" t="inlineStr">
        <is>
          <t>Exit $/SF (Land)</t>
        </is>
      </c>
      <c r="C23" s="7" t="n"/>
      <c r="D23" s="7">
        <f>'Land Sale to MF Developer'!C28</f>
        <v/>
      </c>
      <c r="E23" s="16" t="inlineStr">
        <is>
          <t>Tax Abatement</t>
        </is>
      </c>
      <c r="F23" s="8">
        <f>'Land Sale to MF Developer'!C125</f>
        <v/>
      </c>
    </row>
    <row r="24" ht="15" customHeight="1" s="262">
      <c r="B24" s="6" t="inlineStr">
        <is>
          <t>Implied Exit Cap</t>
        </is>
      </c>
      <c r="C24" s="8" t="n"/>
      <c r="D24" s="8">
        <f>'Land Sale to MF Developer'!C30</f>
        <v/>
      </c>
      <c r="E24" s="16" t="inlineStr">
        <is>
          <t>Stab NOI</t>
        </is>
      </c>
      <c r="F24" s="7">
        <f>'Land Sale to MF Developer'!C134</f>
        <v/>
      </c>
    </row>
    <row r="25" ht="16.5" customHeight="1" s="262">
      <c r="E25" s="16" t="inlineStr">
        <is>
          <t>Dev Yield</t>
        </is>
      </c>
      <c r="F25" s="8">
        <f>'Land Sale to MF Developer'!C135</f>
        <v/>
      </c>
    </row>
    <row r="26" ht="15" customHeight="1" s="262">
      <c r="B26" s="4" t="inlineStr">
        <is>
          <t>ASSUMPTIONS</t>
        </is>
      </c>
      <c r="C26" s="5" t="n"/>
      <c r="D26" s="5" t="n"/>
      <c r="E26" s="16" t="inlineStr">
        <is>
          <t>Buyer IRR</t>
        </is>
      </c>
      <c r="F26" s="23">
        <f>'Land Sale to MF Developer'!C150</f>
        <v/>
      </c>
    </row>
    <row r="27" ht="15" customHeight="1" s="262">
      <c r="B27" s="17" t="inlineStr">
        <is>
          <t>Hold</t>
        </is>
      </c>
      <c r="C27" s="6" t="inlineStr">
        <is>
          <t>10 years | 2-yr IO, 60% LTV, 5.50% (T5 + 150 bps) | Yr5 Refi 60% LTV, 5.00%, 5.50% cap</t>
        </is>
      </c>
      <c r="E27" s="16" t="inlineStr">
        <is>
          <t>Eq Multiple</t>
        </is>
      </c>
      <c r="F27" s="12">
        <f>'Land Sale to MF Developer'!C151</f>
        <v/>
      </c>
    </row>
    <row r="28" ht="15" customHeight="1" s="262">
      <c r="B28" s="17" t="n"/>
      <c r="C28" s="6" t="n"/>
      <c r="E28" s="16" t="inlineStr">
        <is>
          <t>Profit Margin</t>
        </is>
      </c>
      <c r="F28" s="8">
        <f>'Land Sale to MF Developer'!C156</f>
        <v/>
      </c>
    </row>
    <row r="29" ht="15" customHeight="1" s="262">
      <c r="B29" s="17" t="inlineStr">
        <is>
          <t>Land Sale Exit</t>
        </is>
      </c>
      <c r="C29" s="6" t="inlineStr">
        <is>
          <t>$300/SF x 197,762 SF land to MF developer</t>
        </is>
      </c>
      <c r="E29" s="16" t="inlineStr">
        <is>
          <t>Profit $</t>
        </is>
      </c>
      <c r="F29" s="24">
        <f>'Land Sale to MF Developer'!C155</f>
        <v/>
      </c>
    </row>
    <row r="30">
      <c r="B30" s="17" t="inlineStr">
        <is>
          <t>Buyer</t>
        </is>
      </c>
      <c r="C30" s="6" t="inlineStr">
        <is>
          <t>3.0 FAR, 449 units, $4.25 MF, $45 retail, $220 hard, no tax abate</t>
        </is>
      </c>
    </row>
  </sheetData>
  <mergeCells count="1">
    <mergeCell ref="B1:F1"/>
  </mergeCells>
  <pageMargins left="0.75" right="0.75" top="1" bottom="1" header="0.511811023622047" footer="0.511811023622047"/>
  <pageSetup orientation="portrait" paperSize="9" horizontalDpi="300" verticalDpi="300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2:Q174"/>
  <sheetViews>
    <sheetView zoomScaleNormal="100" workbookViewId="0">
      <selection activeCell="A1" sqref="A1"/>
    </sheetView>
  </sheetViews>
  <sheetFormatPr baseColWidth="10" defaultColWidth="8.6640625" defaultRowHeight="15"/>
  <cols>
    <col width="35.6640625" customWidth="1" style="262" min="1" max="1"/>
    <col width="13" customWidth="1" style="262" min="2" max="13"/>
  </cols>
  <sheetData>
    <row r="2" ht="17.25" customHeight="1" s="262">
      <c r="B2" s="25" t="inlineStr">
        <is>
          <t>SENSITIVITY ANALYSIS</t>
        </is>
      </c>
    </row>
    <row r="3" ht="15" customHeight="1" s="262">
      <c r="B3" s="26" t="inlineStr">
        <is>
          <t>Shoppes at San Felipe  |  Land Sale Exit Sensitivity</t>
        </is>
      </c>
    </row>
    <row r="5" ht="15" customHeight="1" s="262">
      <c r="B5" s="27" t="inlineStr">
        <is>
          <t>LEGEND</t>
        </is>
      </c>
    </row>
    <row r="6" ht="15" customHeight="1" s="262">
      <c r="B6" s="28" t="inlineStr">
        <is>
          <t>Base Case</t>
        </is>
      </c>
      <c r="C6" s="29" t="inlineStr">
        <is>
          <t>Yellow = base case assumptions</t>
        </is>
      </c>
    </row>
    <row r="7" ht="15" customHeight="1" s="262">
      <c r="B7" s="30" t="inlineStr">
        <is>
          <t>Cross-Hair</t>
        </is>
      </c>
      <c r="C7" s="29" t="inlineStr">
        <is>
          <t>Blue = same row or column as base case</t>
        </is>
      </c>
    </row>
    <row r="9" ht="15" customHeight="1" s="262">
      <c r="B9" s="31" t="inlineStr">
        <is>
          <t>Notes:</t>
        </is>
      </c>
    </row>
    <row r="10" ht="15" customHeight="1" s="262">
      <c r="B10" s="32" t="n"/>
    </row>
    <row r="11" ht="15" customHeight="1" s="262">
      <c r="B11" s="32" t="inlineStr">
        <is>
          <t>• exit value = Land SF (197,762) × Exit $/SF to MF developer</t>
        </is>
      </c>
    </row>
    <row r="12" ht="15" customHeight="1" s="262">
      <c r="B12" s="32" t="inlineStr">
        <is>
          <t>• Yr 5 refi at 5.50% cap, 60% LTV, 5.00% rate, 2-yr IO</t>
        </is>
      </c>
    </row>
    <row r="13" ht="15" customHeight="1" s="262">
      <c r="B13" s="32" t="inlineStr">
        <is>
          <t>• Buyer IRR assumes 7-year hold (2-yr construction + 5-yr stabilization), 5.0% exit cap</t>
        </is>
      </c>
    </row>
    <row r="14" ht="15" customHeight="1" s="262">
      <c r="B14" s="32" t="inlineStr">
        <is>
          <t>• All scenarios: $31.75M purchase, 60% LTV, 2-yr IO, 30-yr amort</t>
        </is>
      </c>
    </row>
    <row r="17" ht="15.75" customHeight="1" s="262">
      <c r="B17" s="33" t="inlineStr">
        <is>
          <t>LP-LEVEL SENSITIVITY ANALYSIS (Net of Fees &amp; Promote)</t>
        </is>
      </c>
    </row>
    <row r="19" ht="15" customHeight="1" s="262">
      <c r="B19" s="34" t="inlineStr">
        <is>
          <t>LP RETURNS BY LAND SALE PRICE ($/SF)</t>
        </is>
      </c>
    </row>
    <row r="20" ht="15" customHeight="1" s="262">
      <c r="B20" s="35" t="inlineStr">
        <is>
          <t>Metric</t>
        </is>
      </c>
      <c r="C20" s="36" t="n">
        <v>200</v>
      </c>
      <c r="D20" s="36" t="n">
        <v>225</v>
      </c>
      <c r="E20" s="36" t="n">
        <v>250</v>
      </c>
      <c r="F20" s="36" t="n">
        <v>275</v>
      </c>
      <c r="G20" s="36" t="n">
        <v>300</v>
      </c>
      <c r="H20" s="36" t="n">
        <v>325</v>
      </c>
      <c r="I20" s="36" t="n">
        <v>350</v>
      </c>
      <c r="J20" s="36" t="n">
        <v>375</v>
      </c>
      <c r="K20" s="36" t="n">
        <v>400</v>
      </c>
    </row>
    <row r="21" ht="15" customHeight="1" s="262">
      <c r="B21" s="37" t="inlineStr">
        <is>
          <t>LP IRR</t>
        </is>
      </c>
      <c r="C21" s="38">
        <f>B80</f>
        <v/>
      </c>
      <c r="D21" s="38">
        <f>C80</f>
        <v/>
      </c>
      <c r="E21" s="38">
        <f>D80</f>
        <v/>
      </c>
      <c r="F21" s="38">
        <f>E80</f>
        <v/>
      </c>
      <c r="G21" s="39">
        <f>F80</f>
        <v/>
      </c>
      <c r="H21" s="38">
        <f>G80</f>
        <v/>
      </c>
      <c r="I21" s="38">
        <f>H80</f>
        <v/>
      </c>
      <c r="J21" s="38">
        <f>I80</f>
        <v/>
      </c>
      <c r="K21" s="38">
        <f>J80</f>
        <v/>
      </c>
    </row>
    <row r="22" ht="15" customHeight="1" s="262">
      <c r="B22" s="40" t="inlineStr">
        <is>
          <t>LP Multiple</t>
        </is>
      </c>
      <c r="C22" s="114">
        <f>B81</f>
        <v/>
      </c>
      <c r="D22" s="114">
        <f>C81</f>
        <v/>
      </c>
      <c r="E22" s="114">
        <f>D81</f>
        <v/>
      </c>
      <c r="F22" s="114">
        <f>E81</f>
        <v/>
      </c>
      <c r="G22" s="121">
        <f>F81</f>
        <v/>
      </c>
      <c r="H22" s="114">
        <f>G81</f>
        <v/>
      </c>
      <c r="I22" s="114">
        <f>H81</f>
        <v/>
      </c>
      <c r="J22" s="114">
        <f>I81</f>
        <v/>
      </c>
      <c r="K22" s="114">
        <f>J81</f>
        <v/>
      </c>
    </row>
    <row r="23" ht="15" customHeight="1" s="262">
      <c r="B23" s="42" t="inlineStr">
        <is>
          <t>GP Promote ($)</t>
        </is>
      </c>
      <c r="C23" s="45">
        <f>B82</f>
        <v/>
      </c>
      <c r="D23" s="45">
        <f>C82</f>
        <v/>
      </c>
      <c r="E23" s="45">
        <f>D82</f>
        <v/>
      </c>
      <c r="F23" s="45">
        <f>E82</f>
        <v/>
      </c>
      <c r="G23" s="46">
        <f>F82</f>
        <v/>
      </c>
      <c r="H23" s="45">
        <f>G82</f>
        <v/>
      </c>
      <c r="I23" s="45">
        <f>H82</f>
        <v/>
      </c>
      <c r="J23" s="45">
        <f>I82</f>
        <v/>
      </c>
      <c r="K23" s="45">
        <f>J82</f>
        <v/>
      </c>
    </row>
    <row r="24" ht="15" customHeight="1" s="262">
      <c r="B24" s="42" t="inlineStr">
        <is>
          <t>Gross Exit Value</t>
        </is>
      </c>
      <c r="C24" s="45">
        <f>B54</f>
        <v/>
      </c>
      <c r="D24" s="45">
        <f>C54</f>
        <v/>
      </c>
      <c r="E24" s="45">
        <f>D54</f>
        <v/>
      </c>
      <c r="F24" s="45">
        <f>E54</f>
        <v/>
      </c>
      <c r="G24" s="46">
        <f>F54</f>
        <v/>
      </c>
      <c r="H24" s="45">
        <f>G54</f>
        <v/>
      </c>
      <c r="I24" s="45">
        <f>H54</f>
        <v/>
      </c>
      <c r="J24" s="45">
        <f>I54</f>
        <v/>
      </c>
      <c r="K24" s="45">
        <f>J54</f>
        <v/>
      </c>
    </row>
    <row r="27" ht="15" customHeight="1" s="262">
      <c r="B27" s="34" t="inlineStr">
        <is>
          <t>LAND PRICE SUPPORTED AT 18% DEVELOPER IRR BY MF RENT</t>
        </is>
      </c>
    </row>
    <row r="28" ht="15" customHeight="1" s="262">
      <c r="B28" s="43" t="inlineStr">
        <is>
          <t>MF Rent/SF/Mo</t>
        </is>
      </c>
      <c r="C28" s="44" t="n">
        <v>4.25</v>
      </c>
      <c r="D28" s="44" t="n">
        <v>4.5</v>
      </c>
      <c r="E28" s="44" t="n">
        <v>4.7</v>
      </c>
      <c r="F28" s="44" t="n">
        <v>4.9</v>
      </c>
      <c r="G28" s="44" t="n">
        <v>5.1</v>
      </c>
      <c r="H28" s="44" t="n">
        <v>5.3</v>
      </c>
    </row>
    <row r="29" ht="15" customHeight="1" s="262">
      <c r="B29" s="34" t="inlineStr">
        <is>
          <t>Land $/SF (18% Dev IRR)</t>
        </is>
      </c>
      <c r="C29" s="45" t="n">
        <v>217</v>
      </c>
      <c r="D29" s="45" t="n">
        <v>243</v>
      </c>
      <c r="E29" s="45" t="n">
        <v>274</v>
      </c>
      <c r="F29" s="46" t="n">
        <v>300</v>
      </c>
      <c r="G29" s="45" t="n">
        <v>328</v>
      </c>
      <c r="H29" s="45" t="n">
        <v>355</v>
      </c>
    </row>
    <row r="30" ht="15" customHeight="1" s="262">
      <c r="B30" s="37" t="inlineStr">
        <is>
          <t>LP IRR at That Price</t>
        </is>
      </c>
      <c r="C30" s="38">
        <f>INDEX($C$21:$K$21,MATCH(C29,$C$20:$K$20,1))+(C29-INDEX($C$20:$K$20,MATCH(C29,$C$20:$K$20,1)))*(INDEX($C$21:$K$21,MATCH(C29,$C$20:$K$20,1)+1)-INDEX($C$21:$K$21,MATCH(C29,$C$20:$K$20,1)))/(INDEX($C$20:$K$20,MATCH(C29,$C$20:$K$20,1)+1)-INDEX($C$20:$K$20,MATCH(C29,$C$20:$K$20,1)))</f>
        <v/>
      </c>
      <c r="D30" s="38">
        <f>INDEX($C$21:$K$21,MATCH(D29,$C$20:$K$20,1))+(D29-INDEX($C$20:$K$20,MATCH(D29,$C$20:$K$20,1)))*(INDEX($C$21:$K$21,MATCH(D29,$C$20:$K$20,1)+1)-INDEX($C$21:$K$21,MATCH(D29,$C$20:$K$20,1)))/(INDEX($C$20:$K$20,MATCH(D29,$C$20:$K$20,1)+1)-INDEX($C$20:$K$20,MATCH(D29,$C$20:$K$20,1)))</f>
        <v/>
      </c>
      <c r="E30" s="38">
        <f>INDEX($C$21:$K$21,MATCH(E29,$C$20:$K$20,1))+(E29-INDEX($C$20:$K$20,MATCH(E29,$C$20:$K$20,1)))*(INDEX($C$21:$K$21,MATCH(E29,$C$20:$K$20,1)+1)-INDEX($C$21:$K$21,MATCH(E29,$C$20:$K$20,1)))/(INDEX($C$20:$K$20,MATCH(E29,$C$20:$K$20,1)+1)-INDEX($C$20:$K$20,MATCH(E29,$C$20:$K$20,1)))</f>
        <v/>
      </c>
      <c r="F30" s="39">
        <f>INDEX($C$21:$K$21,MATCH(F29,$C$20:$K$20,1))+(F29-INDEX($C$20:$K$20,MATCH(F29,$C$20:$K$20,1)))*(INDEX($C$21:$K$21,MATCH(F29,$C$20:$K$20,1)+1)-INDEX($C$21:$K$21,MATCH(F29,$C$20:$K$20,1)))/(INDEX($C$20:$K$20,MATCH(F29,$C$20:$K$20,1)+1)-INDEX($C$20:$K$20,MATCH(F29,$C$20:$K$20,1)))</f>
        <v/>
      </c>
      <c r="G30" s="38">
        <f>INDEX($C$21:$K$21,MATCH(G29,$C$20:$K$20,1))+(G29-INDEX($C$20:$K$20,MATCH(G29,$C$20:$K$20,1)))*(INDEX($C$21:$K$21,MATCH(G29,$C$20:$K$20,1)+1)-INDEX($C$21:$K$21,MATCH(G29,$C$20:$K$20,1)))/(INDEX($C$20:$K$20,MATCH(G29,$C$20:$K$20,1)+1)-INDEX($C$20:$K$20,MATCH(G29,$C$20:$K$20,1)))</f>
        <v/>
      </c>
      <c r="H30" s="38">
        <f>INDEX($C$21:$K$21,MATCH(H29,$C$20:$K$20,1))+(H29-INDEX($C$20:$K$20,MATCH(H29,$C$20:$K$20,1)))*(INDEX($C$21:$K$21,MATCH(H29,$C$20:$K$20,1)+1)-INDEX($C$21:$K$21,MATCH(H29,$C$20:$K$20,1)))/(INDEX($C$20:$K$20,MATCH(H29,$C$20:$K$20,1)+1)-INDEX($C$20:$K$20,MATCH(H29,$C$20:$K$20,1)))</f>
        <v/>
      </c>
    </row>
    <row r="31" ht="15" customHeight="1" s="262">
      <c r="B31" s="40" t="inlineStr">
        <is>
          <t>LP Multiple</t>
        </is>
      </c>
      <c r="C31" s="114">
        <f>INDEX($C$22:$K$22,MATCH(C29,$C$20:$K$20,1))+(C29-INDEX($C$20:$K$20,MATCH(C29,$C$20:$K$20,1)))*(INDEX($C$22:$K$22,MATCH(C29,$C$20:$K$20,1)+1)-INDEX($C$22:$K$22,MATCH(C29,$C$20:$K$20,1)))/(INDEX($C$20:$K$20,MATCH(C29,$C$20:$K$20,1)+1)-INDEX($C$20:$K$20,MATCH(C29,$C$20:$K$20,1)))</f>
        <v/>
      </c>
      <c r="D31" s="114">
        <f>INDEX($C$22:$K$22,MATCH(D29,$C$20:$K$20,1))+(D29-INDEX($C$20:$K$20,MATCH(D29,$C$20:$K$20,1)))*(INDEX($C$22:$K$22,MATCH(D29,$C$20:$K$20,1)+1)-INDEX($C$22:$K$22,MATCH(D29,$C$20:$K$20,1)))/(INDEX($C$20:$K$20,MATCH(D29,$C$20:$K$20,1)+1)-INDEX($C$20:$K$20,MATCH(D29,$C$20:$K$20,1)))</f>
        <v/>
      </c>
      <c r="E31" s="114">
        <f>INDEX($C$22:$K$22,MATCH(E29,$C$20:$K$20,1))+(E29-INDEX($C$20:$K$20,MATCH(E29,$C$20:$K$20,1)))*(INDEX($C$22:$K$22,MATCH(E29,$C$20:$K$20,1)+1)-INDEX($C$22:$K$22,MATCH(E29,$C$20:$K$20,1)))/(INDEX($C$20:$K$20,MATCH(E29,$C$20:$K$20,1)+1)-INDEX($C$20:$K$20,MATCH(E29,$C$20:$K$20,1)))</f>
        <v/>
      </c>
      <c r="F31" s="121">
        <f>INDEX($C$22:$K$22,MATCH(F29,$C$20:$K$20,1))+(F29-INDEX($C$20:$K$20,MATCH(F29,$C$20:$K$20,1)))*(INDEX($C$22:$K$22,MATCH(F29,$C$20:$K$20,1)+1)-INDEX($C$22:$K$22,MATCH(F29,$C$20:$K$20,1)))/(INDEX($C$20:$K$20,MATCH(F29,$C$20:$K$20,1)+1)-INDEX($C$20:$K$20,MATCH(F29,$C$20:$K$20,1)))</f>
        <v/>
      </c>
      <c r="G31" s="114">
        <f>INDEX($C$22:$K$22,MATCH(G29,$C$20:$K$20,1))+(G29-INDEX($C$20:$K$20,MATCH(G29,$C$20:$K$20,1)))*(INDEX($C$22:$K$22,MATCH(G29,$C$20:$K$20,1)+1)-INDEX($C$22:$K$22,MATCH(G29,$C$20:$K$20,1)))/(INDEX($C$20:$K$20,MATCH(G29,$C$20:$K$20,1)+1)-INDEX($C$20:$K$20,MATCH(G29,$C$20:$K$20,1)))</f>
        <v/>
      </c>
      <c r="H31" s="114">
        <f>INDEX($C$22:$K$22,MATCH(H29,$C$20:$K$20,1))+(H29-INDEX($C$20:$K$20,MATCH(H29,$C$20:$K$20,1)))*(INDEX($C$22:$K$22,MATCH(H29,$C$20:$K$20,1)+1)-INDEX($C$22:$K$22,MATCH(H29,$C$20:$K$20,1)))/(INDEX($C$20:$K$20,MATCH(H29,$C$20:$K$20,1)+1)-INDEX($C$20:$K$20,MATCH(H29,$C$20:$K$20,1)))</f>
        <v/>
      </c>
    </row>
    <row r="34" ht="15" customHeight="1" s="262">
      <c r="B34" s="34" t="inlineStr">
        <is>
          <t>DOWNSIDE / STRESS TEST SCENARIOS</t>
        </is>
      </c>
    </row>
    <row r="35" ht="15" customHeight="1" s="262">
      <c r="B35" s="43" t="inlineStr">
        <is>
          <t>Scenario</t>
        </is>
      </c>
      <c r="C35" s="43" t="inlineStr">
        <is>
          <t>Land $/SF</t>
        </is>
      </c>
      <c r="D35" s="43" t="inlineStr">
        <is>
          <t>Exit Value</t>
        </is>
      </c>
      <c r="E35" s="43" t="inlineStr">
        <is>
          <t>LP IRR</t>
        </is>
      </c>
      <c r="F35" s="43" t="inlineStr">
        <is>
          <t>LP Multiple</t>
        </is>
      </c>
      <c r="G35" s="43" t="inlineStr">
        <is>
          <t>Impact vs Base</t>
        </is>
      </c>
    </row>
    <row r="36" ht="15" customHeight="1" s="262">
      <c r="B36" s="47" t="inlineStr">
        <is>
          <t>Base Case</t>
        </is>
      </c>
      <c r="C36" s="48" t="n">
        <v>300</v>
      </c>
      <c r="D36" s="45">
        <f>F54</f>
        <v/>
      </c>
      <c r="E36" s="38">
        <f>F80</f>
        <v/>
      </c>
      <c r="F36" s="114">
        <f>F81</f>
        <v/>
      </c>
      <c r="G36" s="49" t="inlineStr">
        <is>
          <t>—</t>
        </is>
      </c>
    </row>
    <row r="37" ht="15" customHeight="1" s="262">
      <c r="B37" s="50" t="inlineStr">
        <is>
          <t>Land -17%</t>
        </is>
      </c>
      <c r="C37" s="48" t="n">
        <v>250</v>
      </c>
      <c r="D37" s="45">
        <f>D54</f>
        <v/>
      </c>
      <c r="E37" s="38">
        <f>D80</f>
        <v/>
      </c>
      <c r="F37" s="114">
        <f>D81</f>
        <v/>
      </c>
      <c r="G37" s="49">
        <f>TEXT(E37-$E$36,"+0.0%;-0.0%")&amp;" IRR"</f>
        <v/>
      </c>
    </row>
    <row r="38" ht="15" customHeight="1" s="262">
      <c r="B38" s="50" t="inlineStr">
        <is>
          <t>Land -33%</t>
        </is>
      </c>
      <c r="C38" s="48" t="n">
        <v>200</v>
      </c>
      <c r="D38" s="45">
        <f>B54</f>
        <v/>
      </c>
      <c r="E38" s="38">
        <f>B80</f>
        <v/>
      </c>
      <c r="F38" s="114">
        <f>B81</f>
        <v/>
      </c>
      <c r="G38" s="49">
        <f>TEXT(E38-$E$36,"+0.0%;-0.0%")&amp;" IRR"</f>
        <v/>
      </c>
    </row>
    <row r="39" ht="15" customHeight="1" s="262">
      <c r="B39" s="51" t="inlineStr">
        <is>
          <t>5-Yr Hold (Sell Yr 5)</t>
        </is>
      </c>
      <c r="C39" s="45" t="n">
        <v>275</v>
      </c>
      <c r="D39" s="45">
        <f>N92*'Operating Model'!$C$18</f>
        <v/>
      </c>
      <c r="E39" s="38">
        <f>N152</f>
        <v/>
      </c>
      <c r="F39" s="114">
        <f>N153</f>
        <v/>
      </c>
      <c r="G39" s="49">
        <f>TEXT(E39-$E$36,"+0.0%;-0.0%")&amp;" IRR"</f>
        <v/>
      </c>
    </row>
    <row r="40" ht="15" customHeight="1" s="262">
      <c r="B40" s="51" t="inlineStr">
        <is>
          <t>NOI -10% (all yrs)</t>
        </is>
      </c>
      <c r="C40" s="45" t="n">
        <v>300</v>
      </c>
      <c r="D40" s="45">
        <f>O92*'Operating Model'!$C$18</f>
        <v/>
      </c>
      <c r="E40" s="38">
        <f>O152</f>
        <v/>
      </c>
      <c r="F40" s="114">
        <f>O153</f>
        <v/>
      </c>
      <c r="G40" s="49">
        <f>TEXT(E40-$E$36,"+0.0%;-0.0%")&amp;" IRR"</f>
        <v/>
      </c>
    </row>
    <row r="41" ht="15" customHeight="1" s="262">
      <c r="B41" s="51" t="inlineStr">
        <is>
          <t>Refi Rate 6.5%</t>
        </is>
      </c>
      <c r="C41" s="45" t="n">
        <v>300</v>
      </c>
      <c r="D41" s="45">
        <f>P92*'Operating Model'!$C$18</f>
        <v/>
      </c>
      <c r="E41" s="38">
        <f>P152</f>
        <v/>
      </c>
      <c r="F41" s="114">
        <f>P153</f>
        <v/>
      </c>
      <c r="G41" s="49">
        <f>TEXT(E41-$E$36,"+0.0%;-0.0%")&amp;" IRR"</f>
        <v/>
      </c>
    </row>
    <row r="42" ht="15" customHeight="1" s="262">
      <c r="B42" s="51" t="inlineStr">
        <is>
          <t>No Refinance</t>
        </is>
      </c>
      <c r="C42" s="45" t="n">
        <v>300</v>
      </c>
      <c r="D42" s="45">
        <f>Q92*'Operating Model'!$C$18</f>
        <v/>
      </c>
      <c r="E42" s="38">
        <f>Q152</f>
        <v/>
      </c>
      <c r="F42" s="114">
        <f>Q153</f>
        <v/>
      </c>
      <c r="G42" s="49">
        <f>TEXT(E42-$E$36,"+0.0%;-0.0%")&amp;" IRR"</f>
        <v/>
      </c>
    </row>
    <row r="45" ht="15" customHeight="1" s="262">
      <c r="B45" s="34" t="inlineStr">
        <is>
          <t>DEBT SERVICE COVERAGE RATIO BY YEAR</t>
        </is>
      </c>
    </row>
    <row r="46" ht="15" customHeight="1" s="262">
      <c r="B46" s="43" t="inlineStr">
        <is>
          <t>Line Item</t>
        </is>
      </c>
      <c r="C46" s="43" t="inlineStr">
        <is>
          <t>Yr 1</t>
        </is>
      </c>
      <c r="D46" s="43" t="inlineStr">
        <is>
          <t>Yr 2</t>
        </is>
      </c>
      <c r="E46" s="43" t="inlineStr">
        <is>
          <t>Yr 3</t>
        </is>
      </c>
      <c r="F46" s="43" t="inlineStr">
        <is>
          <t>Yr 4</t>
        </is>
      </c>
      <c r="G46" s="43" t="inlineStr">
        <is>
          <t>Yr 5</t>
        </is>
      </c>
      <c r="H46" s="43" t="inlineStr">
        <is>
          <t>Yr 6</t>
        </is>
      </c>
      <c r="I46" s="43" t="inlineStr">
        <is>
          <t>Yr 7</t>
        </is>
      </c>
      <c r="J46" s="43" t="inlineStr">
        <is>
          <t>Yr 8</t>
        </is>
      </c>
      <c r="K46" s="43" t="inlineStr">
        <is>
          <t>Yr 9</t>
        </is>
      </c>
      <c r="L46" s="43" t="inlineStr">
        <is>
          <t>Yr 10</t>
        </is>
      </c>
    </row>
    <row r="47" ht="15" customHeight="1" s="262">
      <c r="B47" s="34" t="inlineStr">
        <is>
          <t>NOI</t>
        </is>
      </c>
      <c r="C47" s="45">
        <f>'Operating Model'!C21</f>
        <v/>
      </c>
      <c r="D47" s="45">
        <f>'Operating Model'!D21</f>
        <v/>
      </c>
      <c r="E47" s="45">
        <f>'Operating Model'!E21</f>
        <v/>
      </c>
      <c r="F47" s="45">
        <f>'Operating Model'!F21</f>
        <v/>
      </c>
      <c r="G47" s="45">
        <f>'Operating Model'!G21</f>
        <v/>
      </c>
      <c r="H47" s="45">
        <f>'Operating Model'!H21</f>
        <v/>
      </c>
      <c r="I47" s="45">
        <f>'Operating Model'!I21</f>
        <v/>
      </c>
      <c r="J47" s="45">
        <f>'Operating Model'!J21</f>
        <v/>
      </c>
      <c r="K47" s="45">
        <f>'Operating Model'!K21</f>
        <v/>
      </c>
      <c r="L47" s="45">
        <f>'Operating Model'!L21</f>
        <v/>
      </c>
    </row>
    <row r="48" ht="15" customHeight="1" s="262">
      <c r="B48" s="34" t="inlineStr">
        <is>
          <t>Debt Service</t>
        </is>
      </c>
      <c r="C48" s="45">
        <f>'Operating Model'!C23</f>
        <v/>
      </c>
      <c r="D48" s="45">
        <f>'Operating Model'!D23</f>
        <v/>
      </c>
      <c r="E48" s="45">
        <f>'Operating Model'!E23</f>
        <v/>
      </c>
      <c r="F48" s="45">
        <f>'Operating Model'!F23</f>
        <v/>
      </c>
      <c r="G48" s="45">
        <f>'Operating Model'!G23</f>
        <v/>
      </c>
      <c r="H48" s="45">
        <f>'Operating Model'!H23</f>
        <v/>
      </c>
      <c r="I48" s="45">
        <f>'Operating Model'!I23</f>
        <v/>
      </c>
      <c r="J48" s="45">
        <f>'Operating Model'!J23</f>
        <v/>
      </c>
      <c r="K48" s="45">
        <f>'Operating Model'!K23</f>
        <v/>
      </c>
      <c r="L48" s="45">
        <f>'Operating Model'!L23</f>
        <v/>
      </c>
    </row>
    <row r="49" ht="15" customHeight="1" s="262">
      <c r="B49" s="34" t="inlineStr">
        <is>
          <t>DSCR</t>
        </is>
      </c>
      <c r="C49" s="41">
        <f>'Operating Model'!C25</f>
        <v/>
      </c>
      <c r="D49" s="41">
        <f>'Operating Model'!D25</f>
        <v/>
      </c>
      <c r="E49" s="41">
        <f>'Operating Model'!E25</f>
        <v/>
      </c>
      <c r="F49" s="41">
        <f>'Operating Model'!F25</f>
        <v/>
      </c>
      <c r="G49" s="41">
        <f>'Operating Model'!G25</f>
        <v/>
      </c>
      <c r="H49" s="41">
        <f>'Operating Model'!H25</f>
        <v/>
      </c>
      <c r="I49" s="41">
        <f>'Operating Model'!I25</f>
        <v/>
      </c>
      <c r="J49" s="41">
        <f>'Operating Model'!J25</f>
        <v/>
      </c>
      <c r="K49" s="41">
        <f>'Operating Model'!K25</f>
        <v/>
      </c>
      <c r="L49" s="41">
        <f>'Operating Model'!L25</f>
        <v/>
      </c>
    </row>
    <row r="52" ht="15" customHeight="1" s="262">
      <c r="A52" s="52" t="inlineStr">
        <is>
          <t>LP SENSITIVITY ENGINE — LAND PRICE (FORMULA-DRIVEN)</t>
        </is>
      </c>
      <c r="B52" s="53" t="n"/>
      <c r="C52" s="53" t="n"/>
      <c r="D52" s="53" t="n"/>
      <c r="E52" s="53" t="n"/>
      <c r="F52" s="53" t="n"/>
      <c r="G52" s="53" t="n"/>
      <c r="H52" s="53" t="n"/>
      <c r="I52" s="53" t="n"/>
      <c r="J52" s="53" t="n"/>
    </row>
    <row r="53" ht="15" customHeight="1" s="262">
      <c r="A53" s="27" t="inlineStr">
        <is>
          <t>Land $/SF (input)</t>
        </is>
      </c>
      <c r="B53" s="48" t="n">
        <v>200</v>
      </c>
      <c r="C53" s="48" t="n">
        <v>225</v>
      </c>
      <c r="D53" s="48" t="n">
        <v>250</v>
      </c>
      <c r="E53" s="48" t="n">
        <v>275</v>
      </c>
      <c r="F53" s="48" t="n">
        <v>300</v>
      </c>
      <c r="G53" s="48" t="n">
        <v>325</v>
      </c>
      <c r="H53" s="48" t="n">
        <v>350</v>
      </c>
      <c r="I53" s="48" t="n">
        <v>375</v>
      </c>
      <c r="J53" s="48" t="n">
        <v>400</v>
      </c>
    </row>
    <row r="54" ht="15" customHeight="1" s="262">
      <c r="A54" t="inlineStr">
        <is>
          <t>Gross Exit Value</t>
        </is>
      </c>
      <c r="B54" s="54">
        <f>'Land Sale to MF Developer'!$C$18*B53</f>
        <v/>
      </c>
      <c r="C54" s="54">
        <f>'Land Sale to MF Developer'!$C$18*C53</f>
        <v/>
      </c>
      <c r="D54" s="54">
        <f>'Land Sale to MF Developer'!$C$18*D53</f>
        <v/>
      </c>
      <c r="E54" s="54">
        <f>'Land Sale to MF Developer'!$C$18*E53</f>
        <v/>
      </c>
      <c r="F54" s="54">
        <f>'Land Sale to MF Developer'!$C$18*F53</f>
        <v/>
      </c>
      <c r="G54" s="54">
        <f>'Land Sale to MF Developer'!$C$18*G53</f>
        <v/>
      </c>
      <c r="H54" s="54">
        <f>'Land Sale to MF Developer'!$C$18*H53</f>
        <v/>
      </c>
      <c r="I54" s="54">
        <f>'Land Sale to MF Developer'!$C$18*I53</f>
        <v/>
      </c>
      <c r="J54" s="54">
        <f>'Land Sale to MF Developer'!$C$18*J53</f>
        <v/>
      </c>
    </row>
    <row r="55" ht="15" customHeight="1" s="262">
      <c r="A55" t="inlineStr">
        <is>
          <t>Less: Loan Payoff</t>
        </is>
      </c>
      <c r="B55" s="55">
        <f>'Land Sale to MF Developer'!$C$32</f>
        <v/>
      </c>
      <c r="C55" s="55">
        <f>'Land Sale to MF Developer'!$C$32</f>
        <v/>
      </c>
      <c r="D55" s="55">
        <f>'Land Sale to MF Developer'!$C$32</f>
        <v/>
      </c>
      <c r="E55" s="55">
        <f>'Land Sale to MF Developer'!$C$32</f>
        <v/>
      </c>
      <c r="F55" s="55">
        <f>'Land Sale to MF Developer'!$C$32</f>
        <v/>
      </c>
      <c r="G55" s="55">
        <f>'Land Sale to MF Developer'!$C$32</f>
        <v/>
      </c>
      <c r="H55" s="55">
        <f>'Land Sale to MF Developer'!$C$32</f>
        <v/>
      </c>
      <c r="I55" s="55">
        <f>'Land Sale to MF Developer'!$C$32</f>
        <v/>
      </c>
      <c r="J55" s="55">
        <f>'Land Sale to MF Developer'!$C$32</f>
        <v/>
      </c>
    </row>
    <row r="56" ht="15" customHeight="1" s="262">
      <c r="A56" t="inlineStr">
        <is>
          <t>Less: Disposition Costs (2%)</t>
        </is>
      </c>
      <c r="B56" s="56">
        <f>B54*0.02</f>
        <v/>
      </c>
      <c r="C56" s="56">
        <f>C54*0.02</f>
        <v/>
      </c>
      <c r="D56" s="56">
        <f>D54*0.02</f>
        <v/>
      </c>
      <c r="E56" s="56">
        <f>E54*0.02</f>
        <v/>
      </c>
      <c r="F56" s="56">
        <f>F54*0.02</f>
        <v/>
      </c>
      <c r="G56" s="56">
        <f>G54*0.02</f>
        <v/>
      </c>
      <c r="H56" s="56">
        <f>H54*0.02</f>
        <v/>
      </c>
      <c r="I56" s="56">
        <f>I54*0.02</f>
        <v/>
      </c>
      <c r="J56" s="56">
        <f>J54*0.02</f>
        <v/>
      </c>
    </row>
    <row r="57" ht="15" customHeight="1" s="262">
      <c r="A57" s="27" t="inlineStr">
        <is>
          <t>Net Sale Proceeds</t>
        </is>
      </c>
      <c r="B57" s="57">
        <f>B54-B55-B56</f>
        <v/>
      </c>
      <c r="C57" s="57">
        <f>C54-C55-C56</f>
        <v/>
      </c>
      <c r="D57" s="57">
        <f>D54-D55-D56</f>
        <v/>
      </c>
      <c r="E57" s="57">
        <f>E54-E55-E56</f>
        <v/>
      </c>
      <c r="F57" s="57">
        <f>F54-F55-F56</f>
        <v/>
      </c>
      <c r="G57" s="57">
        <f>G54-G55-G56</f>
        <v/>
      </c>
      <c r="H57" s="57">
        <f>H54-H55-H56</f>
        <v/>
      </c>
      <c r="I57" s="57">
        <f>I54-I55-I56</f>
        <v/>
      </c>
      <c r="J57" s="57">
        <f>J54-J55-J56</f>
        <v/>
      </c>
    </row>
    <row r="58" ht="15" customHeight="1" s="262">
      <c r="A58" t="inlineStr">
        <is>
          <t>+ Cumulative Op Distributions (Yr 1–10)</t>
        </is>
      </c>
      <c r="B58" s="58">
        <f>'LP Waterfall'!$M$22</f>
        <v/>
      </c>
      <c r="C58" s="58">
        <f>'LP Waterfall'!$M$22</f>
        <v/>
      </c>
      <c r="D58" s="58">
        <f>'LP Waterfall'!$M$22</f>
        <v/>
      </c>
      <c r="E58" s="58">
        <f>'LP Waterfall'!$M$22</f>
        <v/>
      </c>
      <c r="F58" s="58">
        <f>'LP Waterfall'!$M$22</f>
        <v/>
      </c>
      <c r="G58" s="58">
        <f>'LP Waterfall'!$M$22</f>
        <v/>
      </c>
      <c r="H58" s="58">
        <f>'LP Waterfall'!$M$22</f>
        <v/>
      </c>
      <c r="I58" s="58">
        <f>'LP Waterfall'!$M$22</f>
        <v/>
      </c>
      <c r="J58" s="58">
        <f>'LP Waterfall'!$M$22</f>
        <v/>
      </c>
    </row>
    <row r="59" ht="15" customHeight="1" s="262">
      <c r="A59" s="27" t="inlineStr">
        <is>
          <t>Total Value Created</t>
        </is>
      </c>
      <c r="B59" s="57">
        <f>B57+B58</f>
        <v/>
      </c>
      <c r="C59" s="57">
        <f>C57+C58</f>
        <v/>
      </c>
      <c r="D59" s="57">
        <f>D57+D58</f>
        <v/>
      </c>
      <c r="E59" s="57">
        <f>E57+E58</f>
        <v/>
      </c>
      <c r="F59" s="57">
        <f>F57+F58</f>
        <v/>
      </c>
      <c r="G59" s="57">
        <f>G57+G58</f>
        <v/>
      </c>
      <c r="H59" s="57">
        <f>H57+H58</f>
        <v/>
      </c>
      <c r="I59" s="57">
        <f>I57+I58</f>
        <v/>
      </c>
      <c r="J59" s="57">
        <f>J57+J58</f>
        <v/>
      </c>
    </row>
    <row r="60" ht="15" customHeight="1" s="262">
      <c r="A60" t="inlineStr">
        <is>
          <t>Tier 1: Return of Capital</t>
        </is>
      </c>
      <c r="B60" s="54">
        <f>MIN(B59,'LP Waterfall'!$C$6)</f>
        <v/>
      </c>
      <c r="C60" s="54">
        <f>MIN(C59,'LP Waterfall'!$C$6)</f>
        <v/>
      </c>
      <c r="D60" s="54">
        <f>MIN(D59,'LP Waterfall'!$C$6)</f>
        <v/>
      </c>
      <c r="E60" s="54">
        <f>MIN(E59,'LP Waterfall'!$C$6)</f>
        <v/>
      </c>
      <c r="F60" s="54">
        <f>MIN(F59,'LP Waterfall'!$C$6)</f>
        <v/>
      </c>
      <c r="G60" s="54">
        <f>MIN(G59,'LP Waterfall'!$C$6)</f>
        <v/>
      </c>
      <c r="H60" s="54">
        <f>MIN(H59,'LP Waterfall'!$C$6)</f>
        <v/>
      </c>
      <c r="I60" s="54">
        <f>MIN(I59,'LP Waterfall'!$C$6)</f>
        <v/>
      </c>
      <c r="J60" s="54">
        <f>MIN(J59,'LP Waterfall'!$C$6)</f>
        <v/>
      </c>
    </row>
    <row r="61" ht="15" customHeight="1" s="262">
      <c r="A61" t="inlineStr">
        <is>
          <t>Tier 2: Preferred Return (to 1.25x)</t>
        </is>
      </c>
      <c r="B61" s="54">
        <f>MIN(MAX(B59-'LP Waterfall'!$C$6,0),'LP Waterfall'!$C$6*('LP Waterfall'!$C$10-1))</f>
        <v/>
      </c>
      <c r="C61" s="54">
        <f>MIN(MAX(C59-'LP Waterfall'!$C$6,0),'LP Waterfall'!$C$6*('LP Waterfall'!$C$10-1))</f>
        <v/>
      </c>
      <c r="D61" s="54">
        <f>MIN(MAX(D59-'LP Waterfall'!$C$6,0),'LP Waterfall'!$C$6*('LP Waterfall'!$C$10-1))</f>
        <v/>
      </c>
      <c r="E61" s="54">
        <f>MIN(MAX(E59-'LP Waterfall'!$C$6,0),'LP Waterfall'!$C$6*('LP Waterfall'!$C$10-1))</f>
        <v/>
      </c>
      <c r="F61" s="54">
        <f>MIN(MAX(F59-'LP Waterfall'!$C$6,0),'LP Waterfall'!$C$6*('LP Waterfall'!$C$10-1))</f>
        <v/>
      </c>
      <c r="G61" s="54">
        <f>MIN(MAX(G59-'LP Waterfall'!$C$6,0),'LP Waterfall'!$C$6*('LP Waterfall'!$C$10-1))</f>
        <v/>
      </c>
      <c r="H61" s="54">
        <f>MIN(MAX(H59-'LP Waterfall'!$C$6,0),'LP Waterfall'!$C$6*('LP Waterfall'!$C$10-1))</f>
        <v/>
      </c>
      <c r="I61" s="54">
        <f>MIN(MAX(I59-'LP Waterfall'!$C$6,0),'LP Waterfall'!$C$6*('LP Waterfall'!$C$10-1))</f>
        <v/>
      </c>
      <c r="J61" s="54">
        <f>MIN(MAX(J59-'LP Waterfall'!$C$6,0),'LP Waterfall'!$C$6*('LP Waterfall'!$C$10-1))</f>
        <v/>
      </c>
    </row>
    <row r="62" ht="15" customHeight="1" s="262">
      <c r="A62" t="inlineStr">
        <is>
          <t>Tier 3: LP Profit Share (80%)</t>
        </is>
      </c>
      <c r="B62" s="54">
        <f>MAX(B59-'LP Waterfall'!$C$11,0)*'LP Waterfall'!$C$12</f>
        <v/>
      </c>
      <c r="C62" s="54">
        <f>MAX(C59-'LP Waterfall'!$C$11,0)*'LP Waterfall'!$C$12</f>
        <v/>
      </c>
      <c r="D62" s="54">
        <f>MAX(D59-'LP Waterfall'!$C$11,0)*'LP Waterfall'!$C$12</f>
        <v/>
      </c>
      <c r="E62" s="54">
        <f>MAX(E59-'LP Waterfall'!$C$11,0)*'LP Waterfall'!$C$12</f>
        <v/>
      </c>
      <c r="F62" s="54">
        <f>MAX(F59-'LP Waterfall'!$C$11,0)*'LP Waterfall'!$C$12</f>
        <v/>
      </c>
      <c r="G62" s="54">
        <f>MAX(G59-'LP Waterfall'!$C$11,0)*'LP Waterfall'!$C$12</f>
        <v/>
      </c>
      <c r="H62" s="54">
        <f>MAX(H59-'LP Waterfall'!$C$11,0)*'LP Waterfall'!$C$12</f>
        <v/>
      </c>
      <c r="I62" s="54">
        <f>MAX(I59-'LP Waterfall'!$C$11,0)*'LP Waterfall'!$C$12</f>
        <v/>
      </c>
      <c r="J62" s="54">
        <f>MAX(J59-'LP Waterfall'!$C$11,0)*'LP Waterfall'!$C$12</f>
        <v/>
      </c>
    </row>
    <row r="63" ht="15" customHeight="1" s="262">
      <c r="A63" t="inlineStr">
        <is>
          <t>Tier 3: GP Promote (20%)</t>
        </is>
      </c>
      <c r="B63" s="54">
        <f>MAX(B59-'LP Waterfall'!$C$11,0)*'LP Waterfall'!$C$13</f>
        <v/>
      </c>
      <c r="C63" s="54">
        <f>MAX(C59-'LP Waterfall'!$C$11,0)*'LP Waterfall'!$C$13</f>
        <v/>
      </c>
      <c r="D63" s="54">
        <f>MAX(D59-'LP Waterfall'!$C$11,0)*'LP Waterfall'!$C$13</f>
        <v/>
      </c>
      <c r="E63" s="54">
        <f>MAX(E59-'LP Waterfall'!$C$11,0)*'LP Waterfall'!$C$13</f>
        <v/>
      </c>
      <c r="F63" s="54">
        <f>MAX(F59-'LP Waterfall'!$C$11,0)*'LP Waterfall'!$C$13</f>
        <v/>
      </c>
      <c r="G63" s="54">
        <f>MAX(G59-'LP Waterfall'!$C$11,0)*'LP Waterfall'!$C$13</f>
        <v/>
      </c>
      <c r="H63" s="54">
        <f>MAX(H59-'LP Waterfall'!$C$11,0)*'LP Waterfall'!$C$13</f>
        <v/>
      </c>
      <c r="I63" s="54">
        <f>MAX(I59-'LP Waterfall'!$C$11,0)*'LP Waterfall'!$C$13</f>
        <v/>
      </c>
      <c r="J63" s="54">
        <f>MAX(J59-'LP Waterfall'!$C$11,0)*'LP Waterfall'!$C$13</f>
        <v/>
      </c>
    </row>
    <row r="64" ht="15" customHeight="1" s="262">
      <c r="A64" s="27" t="inlineStr">
        <is>
          <t>Total LP Distributions</t>
        </is>
      </c>
      <c r="B64" s="57">
        <f>B60+B61+B62</f>
        <v/>
      </c>
      <c r="C64" s="57">
        <f>C60+C61+C62</f>
        <v/>
      </c>
      <c r="D64" s="57">
        <f>D60+D61+D62</f>
        <v/>
      </c>
      <c r="E64" s="57">
        <f>E60+E61+E62</f>
        <v/>
      </c>
      <c r="F64" s="57">
        <f>F60+F61+F62</f>
        <v/>
      </c>
      <c r="G64" s="57">
        <f>G60+G61+G62</f>
        <v/>
      </c>
      <c r="H64" s="57">
        <f>H60+H61+H62</f>
        <v/>
      </c>
      <c r="I64" s="57">
        <f>I60+I61+I62</f>
        <v/>
      </c>
      <c r="J64" s="57">
        <f>J60+J61+J62</f>
        <v/>
      </c>
    </row>
    <row r="65" ht="15" customHeight="1" s="262">
      <c r="A65" t="inlineStr">
        <is>
          <t>LP Sale Proceeds (Yr 10)</t>
        </is>
      </c>
      <c r="B65" s="54">
        <f>B64-B58</f>
        <v/>
      </c>
      <c r="C65" s="54">
        <f>C64-C58</f>
        <v/>
      </c>
      <c r="D65" s="54">
        <f>D64-D58</f>
        <v/>
      </c>
      <c r="E65" s="54">
        <f>E64-E58</f>
        <v/>
      </c>
      <c r="F65" s="54">
        <f>F64-F58</f>
        <v/>
      </c>
      <c r="G65" s="54">
        <f>G64-G58</f>
        <v/>
      </c>
      <c r="H65" s="54">
        <f>H64-H58</f>
        <v/>
      </c>
      <c r="I65" s="54">
        <f>I64-I58</f>
        <v/>
      </c>
      <c r="J65" s="54">
        <f>J64-J58</f>
        <v/>
      </c>
    </row>
    <row r="67" ht="15" customHeight="1" s="262">
      <c r="A67" s="27" t="inlineStr">
        <is>
          <t>LP CASH FLOWS (by Year, per Price)</t>
        </is>
      </c>
    </row>
    <row r="68" ht="15" customHeight="1" s="262">
      <c r="A68" t="inlineStr">
        <is>
          <t>Year 0</t>
        </is>
      </c>
      <c r="B68" s="55">
        <f>-'LP Waterfall'!$C$6</f>
        <v/>
      </c>
      <c r="C68" s="55">
        <f>-'LP Waterfall'!$C$6</f>
        <v/>
      </c>
      <c r="D68" s="55">
        <f>-'LP Waterfall'!$C$6</f>
        <v/>
      </c>
      <c r="E68" s="55">
        <f>-'LP Waterfall'!$C$6</f>
        <v/>
      </c>
      <c r="F68" s="55">
        <f>-'LP Waterfall'!$C$6</f>
        <v/>
      </c>
      <c r="G68" s="55">
        <f>-'LP Waterfall'!$C$6</f>
        <v/>
      </c>
      <c r="H68" s="55">
        <f>-'LP Waterfall'!$C$6</f>
        <v/>
      </c>
      <c r="I68" s="55">
        <f>-'LP Waterfall'!$C$6</f>
        <v/>
      </c>
      <c r="J68" s="55">
        <f>-'LP Waterfall'!$C$6</f>
        <v/>
      </c>
    </row>
    <row r="69" ht="15" customHeight="1" s="262">
      <c r="A69" t="inlineStr">
        <is>
          <t>Year 1</t>
        </is>
      </c>
      <c r="B69" s="58">
        <f>'LP Waterfall'!D47+'LP Waterfall'!D48</f>
        <v/>
      </c>
      <c r="C69" s="58">
        <f>'LP Waterfall'!D47+'LP Waterfall'!D48</f>
        <v/>
      </c>
      <c r="D69" s="58">
        <f>'LP Waterfall'!D47+'LP Waterfall'!D48</f>
        <v/>
      </c>
      <c r="E69" s="58">
        <f>'LP Waterfall'!D47+'LP Waterfall'!D48</f>
        <v/>
      </c>
      <c r="F69" s="58">
        <f>'LP Waterfall'!D47+'LP Waterfall'!D48</f>
        <v/>
      </c>
      <c r="G69" s="58">
        <f>'LP Waterfall'!D47+'LP Waterfall'!D48</f>
        <v/>
      </c>
      <c r="H69" s="58">
        <f>'LP Waterfall'!D47+'LP Waterfall'!D48</f>
        <v/>
      </c>
      <c r="I69" s="58">
        <f>'LP Waterfall'!D47+'LP Waterfall'!D48</f>
        <v/>
      </c>
      <c r="J69" s="58">
        <f>'LP Waterfall'!D47+'LP Waterfall'!D48</f>
        <v/>
      </c>
    </row>
    <row r="70" ht="15" customHeight="1" s="262">
      <c r="A70" t="inlineStr">
        <is>
          <t>Year 2</t>
        </is>
      </c>
      <c r="B70" s="58">
        <f>'LP Waterfall'!E47+'LP Waterfall'!E48</f>
        <v/>
      </c>
      <c r="C70" s="58">
        <f>'LP Waterfall'!E47+'LP Waterfall'!E48</f>
        <v/>
      </c>
      <c r="D70" s="58">
        <f>'LP Waterfall'!E47+'LP Waterfall'!E48</f>
        <v/>
      </c>
      <c r="E70" s="58">
        <f>'LP Waterfall'!E47+'LP Waterfall'!E48</f>
        <v/>
      </c>
      <c r="F70" s="58">
        <f>'LP Waterfall'!E47+'LP Waterfall'!E48</f>
        <v/>
      </c>
      <c r="G70" s="58">
        <f>'LP Waterfall'!E47+'LP Waterfall'!E48</f>
        <v/>
      </c>
      <c r="H70" s="58">
        <f>'LP Waterfall'!E47+'LP Waterfall'!E48</f>
        <v/>
      </c>
      <c r="I70" s="58">
        <f>'LP Waterfall'!E47+'LP Waterfall'!E48</f>
        <v/>
      </c>
      <c r="J70" s="58">
        <f>'LP Waterfall'!E47+'LP Waterfall'!E48</f>
        <v/>
      </c>
    </row>
    <row r="71" ht="15" customHeight="1" s="262">
      <c r="A71" t="inlineStr">
        <is>
          <t>Year 3</t>
        </is>
      </c>
      <c r="B71" s="58">
        <f>'LP Waterfall'!F47+'LP Waterfall'!F48</f>
        <v/>
      </c>
      <c r="C71" s="58">
        <f>'LP Waterfall'!F47+'LP Waterfall'!F48</f>
        <v/>
      </c>
      <c r="D71" s="58">
        <f>'LP Waterfall'!F47+'LP Waterfall'!F48</f>
        <v/>
      </c>
      <c r="E71" s="58">
        <f>'LP Waterfall'!F47+'LP Waterfall'!F48</f>
        <v/>
      </c>
      <c r="F71" s="58">
        <f>'LP Waterfall'!F47+'LP Waterfall'!F48</f>
        <v/>
      </c>
      <c r="G71" s="58">
        <f>'LP Waterfall'!F47+'LP Waterfall'!F48</f>
        <v/>
      </c>
      <c r="H71" s="58">
        <f>'LP Waterfall'!F47+'LP Waterfall'!F48</f>
        <v/>
      </c>
      <c r="I71" s="58">
        <f>'LP Waterfall'!F47+'LP Waterfall'!F48</f>
        <v/>
      </c>
      <c r="J71" s="58">
        <f>'LP Waterfall'!F47+'LP Waterfall'!F48</f>
        <v/>
      </c>
    </row>
    <row r="72" ht="15" customHeight="1" s="262">
      <c r="A72" t="inlineStr">
        <is>
          <t>Year 4</t>
        </is>
      </c>
      <c r="B72" s="58">
        <f>'LP Waterfall'!G47+'LP Waterfall'!G48</f>
        <v/>
      </c>
      <c r="C72" s="58">
        <f>'LP Waterfall'!G47+'LP Waterfall'!G48</f>
        <v/>
      </c>
      <c r="D72" s="58">
        <f>'LP Waterfall'!G47+'LP Waterfall'!G48</f>
        <v/>
      </c>
      <c r="E72" s="58">
        <f>'LP Waterfall'!G47+'LP Waterfall'!G48</f>
        <v/>
      </c>
      <c r="F72" s="58">
        <f>'LP Waterfall'!G47+'LP Waterfall'!G48</f>
        <v/>
      </c>
      <c r="G72" s="58">
        <f>'LP Waterfall'!G47+'LP Waterfall'!G48</f>
        <v/>
      </c>
      <c r="H72" s="58">
        <f>'LP Waterfall'!G47+'LP Waterfall'!G48</f>
        <v/>
      </c>
      <c r="I72" s="58">
        <f>'LP Waterfall'!G47+'LP Waterfall'!G48</f>
        <v/>
      </c>
      <c r="J72" s="58">
        <f>'LP Waterfall'!G47+'LP Waterfall'!G48</f>
        <v/>
      </c>
    </row>
    <row r="73" ht="15" customHeight="1" s="262">
      <c r="A73" t="inlineStr">
        <is>
          <t>Year 5</t>
        </is>
      </c>
      <c r="B73" s="58">
        <f>'LP Waterfall'!H47+'LP Waterfall'!H48</f>
        <v/>
      </c>
      <c r="C73" s="58">
        <f>'LP Waterfall'!H47+'LP Waterfall'!H48</f>
        <v/>
      </c>
      <c r="D73" s="58">
        <f>'LP Waterfall'!H47+'LP Waterfall'!H48</f>
        <v/>
      </c>
      <c r="E73" s="58">
        <f>'LP Waterfall'!H47+'LP Waterfall'!H48</f>
        <v/>
      </c>
      <c r="F73" s="58">
        <f>'LP Waterfall'!H47+'LP Waterfall'!H48</f>
        <v/>
      </c>
      <c r="G73" s="58">
        <f>'LP Waterfall'!H47+'LP Waterfall'!H48</f>
        <v/>
      </c>
      <c r="H73" s="58">
        <f>'LP Waterfall'!H47+'LP Waterfall'!H48</f>
        <v/>
      </c>
      <c r="I73" s="58">
        <f>'LP Waterfall'!H47+'LP Waterfall'!H48</f>
        <v/>
      </c>
      <c r="J73" s="58">
        <f>'LP Waterfall'!H47+'LP Waterfall'!H48</f>
        <v/>
      </c>
    </row>
    <row r="74" ht="15" customHeight="1" s="262">
      <c r="A74" t="inlineStr">
        <is>
          <t>Year 6</t>
        </is>
      </c>
      <c r="B74" s="58">
        <f>'LP Waterfall'!I47+'LP Waterfall'!I48</f>
        <v/>
      </c>
      <c r="C74" s="58">
        <f>'LP Waterfall'!I47+'LP Waterfall'!I48</f>
        <v/>
      </c>
      <c r="D74" s="58">
        <f>'LP Waterfall'!I47+'LP Waterfall'!I48</f>
        <v/>
      </c>
      <c r="E74" s="58">
        <f>'LP Waterfall'!I47+'LP Waterfall'!I48</f>
        <v/>
      </c>
      <c r="F74" s="58">
        <f>'LP Waterfall'!I47+'LP Waterfall'!I48</f>
        <v/>
      </c>
      <c r="G74" s="58">
        <f>'LP Waterfall'!I47+'LP Waterfall'!I48</f>
        <v/>
      </c>
      <c r="H74" s="58">
        <f>'LP Waterfall'!I47+'LP Waterfall'!I48</f>
        <v/>
      </c>
      <c r="I74" s="58">
        <f>'LP Waterfall'!I47+'LP Waterfall'!I48</f>
        <v/>
      </c>
      <c r="J74" s="58">
        <f>'LP Waterfall'!I47+'LP Waterfall'!I48</f>
        <v/>
      </c>
    </row>
    <row r="75" ht="15" customHeight="1" s="262">
      <c r="A75" t="inlineStr">
        <is>
          <t>Year 7</t>
        </is>
      </c>
      <c r="B75" s="58">
        <f>'LP Waterfall'!J47+'LP Waterfall'!J48</f>
        <v/>
      </c>
      <c r="C75" s="58">
        <f>'LP Waterfall'!J47+'LP Waterfall'!J48</f>
        <v/>
      </c>
      <c r="D75" s="58">
        <f>'LP Waterfall'!J47+'LP Waterfall'!J48</f>
        <v/>
      </c>
      <c r="E75" s="58">
        <f>'LP Waterfall'!J47+'LP Waterfall'!J48</f>
        <v/>
      </c>
      <c r="F75" s="58">
        <f>'LP Waterfall'!J47+'LP Waterfall'!J48</f>
        <v/>
      </c>
      <c r="G75" s="58">
        <f>'LP Waterfall'!J47+'LP Waterfall'!J48</f>
        <v/>
      </c>
      <c r="H75" s="58">
        <f>'LP Waterfall'!J47+'LP Waterfall'!J48</f>
        <v/>
      </c>
      <c r="I75" s="58">
        <f>'LP Waterfall'!J47+'LP Waterfall'!J48</f>
        <v/>
      </c>
      <c r="J75" s="58">
        <f>'LP Waterfall'!J47+'LP Waterfall'!J48</f>
        <v/>
      </c>
    </row>
    <row r="76" ht="15" customHeight="1" s="262">
      <c r="A76" t="inlineStr">
        <is>
          <t>Year 8</t>
        </is>
      </c>
      <c r="B76" s="58">
        <f>'LP Waterfall'!K47+'LP Waterfall'!K48</f>
        <v/>
      </c>
      <c r="C76" s="58">
        <f>'LP Waterfall'!K47+'LP Waterfall'!K48</f>
        <v/>
      </c>
      <c r="D76" s="58">
        <f>'LP Waterfall'!K47+'LP Waterfall'!K48</f>
        <v/>
      </c>
      <c r="E76" s="58">
        <f>'LP Waterfall'!K47+'LP Waterfall'!K48</f>
        <v/>
      </c>
      <c r="F76" s="58">
        <f>'LP Waterfall'!K47+'LP Waterfall'!K48</f>
        <v/>
      </c>
      <c r="G76" s="58">
        <f>'LP Waterfall'!K47+'LP Waterfall'!K48</f>
        <v/>
      </c>
      <c r="H76" s="58">
        <f>'LP Waterfall'!K47+'LP Waterfall'!K48</f>
        <v/>
      </c>
      <c r="I76" s="58">
        <f>'LP Waterfall'!K47+'LP Waterfall'!K48</f>
        <v/>
      </c>
      <c r="J76" s="58">
        <f>'LP Waterfall'!K47+'LP Waterfall'!K48</f>
        <v/>
      </c>
    </row>
    <row r="77" ht="15" customHeight="1" s="262">
      <c r="A77" t="inlineStr">
        <is>
          <t>Year 9</t>
        </is>
      </c>
      <c r="B77" s="58">
        <f>'LP Waterfall'!L47+'LP Waterfall'!L48</f>
        <v/>
      </c>
      <c r="C77" s="58">
        <f>'LP Waterfall'!L47+'LP Waterfall'!L48</f>
        <v/>
      </c>
      <c r="D77" s="58">
        <f>'LP Waterfall'!L47+'LP Waterfall'!L48</f>
        <v/>
      </c>
      <c r="E77" s="58">
        <f>'LP Waterfall'!L47+'LP Waterfall'!L48</f>
        <v/>
      </c>
      <c r="F77" s="58">
        <f>'LP Waterfall'!L47+'LP Waterfall'!L48</f>
        <v/>
      </c>
      <c r="G77" s="58">
        <f>'LP Waterfall'!L47+'LP Waterfall'!L48</f>
        <v/>
      </c>
      <c r="H77" s="58">
        <f>'LP Waterfall'!L47+'LP Waterfall'!L48</f>
        <v/>
      </c>
      <c r="I77" s="58">
        <f>'LP Waterfall'!L47+'LP Waterfall'!L48</f>
        <v/>
      </c>
      <c r="J77" s="58">
        <f>'LP Waterfall'!L47+'LP Waterfall'!L48</f>
        <v/>
      </c>
    </row>
    <row r="78" ht="15" customHeight="1" s="262">
      <c r="A78" t="inlineStr">
        <is>
          <t>Year 10</t>
        </is>
      </c>
      <c r="B78" s="54">
        <f>'LP Waterfall'!M47+'LP Waterfall'!M48+B65</f>
        <v/>
      </c>
      <c r="C78" s="54">
        <f>'LP Waterfall'!M47+'LP Waterfall'!M48+C65</f>
        <v/>
      </c>
      <c r="D78" s="54">
        <f>'LP Waterfall'!M47+'LP Waterfall'!M48+D65</f>
        <v/>
      </c>
      <c r="E78" s="54">
        <f>'LP Waterfall'!M47+'LP Waterfall'!M48+E65</f>
        <v/>
      </c>
      <c r="F78" s="54">
        <f>'LP Waterfall'!M47+'LP Waterfall'!M48+F65</f>
        <v/>
      </c>
      <c r="G78" s="54">
        <f>'LP Waterfall'!M47+'LP Waterfall'!M48+G65</f>
        <v/>
      </c>
      <c r="H78" s="54">
        <f>'LP Waterfall'!M47+'LP Waterfall'!M48+H65</f>
        <v/>
      </c>
      <c r="I78" s="54">
        <f>'LP Waterfall'!M47+'LP Waterfall'!M48+I65</f>
        <v/>
      </c>
      <c r="J78" s="54">
        <f>'LP Waterfall'!M47+'LP Waterfall'!M48+J65</f>
        <v/>
      </c>
    </row>
    <row r="80" ht="15" customHeight="1" s="262">
      <c r="A80" s="27" t="inlineStr">
        <is>
          <t>LP IRR (Net)</t>
        </is>
      </c>
      <c r="B80" s="59">
        <f>IRR(B68:B78)</f>
        <v/>
      </c>
      <c r="C80" s="59">
        <f>IRR(C68:C78)</f>
        <v/>
      </c>
      <c r="D80" s="59">
        <f>IRR(D68:D78)</f>
        <v/>
      </c>
      <c r="E80" s="59">
        <f>IRR(E68:E78)</f>
        <v/>
      </c>
      <c r="F80" s="59">
        <f>IRR(F68:F78)</f>
        <v/>
      </c>
      <c r="G80" s="59">
        <f>IRR(G68:G78)</f>
        <v/>
      </c>
      <c r="H80" s="59">
        <f>IRR(H68:H78)</f>
        <v/>
      </c>
      <c r="I80" s="59">
        <f>IRR(I68:I78)</f>
        <v/>
      </c>
      <c r="J80" s="59">
        <f>IRR(J68:J78)</f>
        <v/>
      </c>
    </row>
    <row r="81" ht="15" customHeight="1" s="262">
      <c r="A81" s="27" t="inlineStr">
        <is>
          <t>LP Equity Multiple</t>
        </is>
      </c>
      <c r="B81" s="60">
        <f>SUM(B69:B78)/(-B68)</f>
        <v/>
      </c>
      <c r="C81" s="60">
        <f>SUM(C69:C78)/(-C68)</f>
        <v/>
      </c>
      <c r="D81" s="60">
        <f>SUM(D69:D78)/(-D68)</f>
        <v/>
      </c>
      <c r="E81" s="60">
        <f>SUM(E69:E78)/(-E68)</f>
        <v/>
      </c>
      <c r="F81" s="60">
        <f>SUM(F69:F78)/(-F68)</f>
        <v/>
      </c>
      <c r="G81" s="60">
        <f>SUM(G69:G78)/(-G68)</f>
        <v/>
      </c>
      <c r="H81" s="60">
        <f>SUM(H69:H78)/(-H68)</f>
        <v/>
      </c>
      <c r="I81" s="60">
        <f>SUM(I69:I78)/(-I68)</f>
        <v/>
      </c>
      <c r="J81" s="60">
        <f>SUM(J69:J78)/(-J68)</f>
        <v/>
      </c>
    </row>
    <row r="82" ht="15" customHeight="1" s="262">
      <c r="A82" t="inlineStr">
        <is>
          <t>GP Promote ($)</t>
        </is>
      </c>
      <c r="B82" s="61">
        <f>B63</f>
        <v/>
      </c>
      <c r="C82" s="61">
        <f>C63</f>
        <v/>
      </c>
      <c r="D82" s="61">
        <f>D63</f>
        <v/>
      </c>
      <c r="E82" s="61">
        <f>E63</f>
        <v/>
      </c>
      <c r="F82" s="61">
        <f>F63</f>
        <v/>
      </c>
      <c r="G82" s="61">
        <f>G63</f>
        <v/>
      </c>
      <c r="H82" s="61">
        <f>H63</f>
        <v/>
      </c>
      <c r="I82" s="61">
        <f>I63</f>
        <v/>
      </c>
      <c r="J82" s="61">
        <f>J63</f>
        <v/>
      </c>
    </row>
    <row r="83" ht="15" customHeight="1" s="262">
      <c r="A83" t="inlineStr">
        <is>
          <t>Gross Exit Value ($)</t>
        </is>
      </c>
      <c r="B83" s="61">
        <f>B54</f>
        <v/>
      </c>
      <c r="C83" s="61">
        <f>C54</f>
        <v/>
      </c>
      <c r="D83" s="61">
        <f>D54</f>
        <v/>
      </c>
      <c r="E83" s="61">
        <f>E54</f>
        <v/>
      </c>
      <c r="F83" s="61">
        <f>F54</f>
        <v/>
      </c>
      <c r="G83" s="61">
        <f>G54</f>
        <v/>
      </c>
      <c r="H83" s="61">
        <f>H54</f>
        <v/>
      </c>
      <c r="I83" s="61">
        <f>I54</f>
        <v/>
      </c>
      <c r="J83" s="61">
        <f>J54</f>
        <v/>
      </c>
    </row>
    <row r="85" ht="15" customHeight="1" s="262">
      <c r="A85" s="62" t="inlineStr">
        <is>
          <t>Note: engine above builds a full LP waterfall per land price and computes IRR / multiple from the resulting cash flows. Links: Land SF, Loan Payoff, Equity, Pref, Splits all reference source cells.</t>
        </is>
      </c>
    </row>
    <row r="90">
      <c r="B90" s="115" t="inlineStr">
        <is>
          <t>STRESS TEST HELPERS (drives Downside table above)</t>
        </is>
      </c>
    </row>
    <row r="91">
      <c r="B91" t="inlineStr">
        <is>
          <t>Input / Step</t>
        </is>
      </c>
      <c r="N91" s="116" t="inlineStr">
        <is>
          <t>5-Yr Hold</t>
        </is>
      </c>
      <c r="O91" s="116" t="inlineStr">
        <is>
          <t>NOI -10%</t>
        </is>
      </c>
      <c r="P91" s="116" t="inlineStr">
        <is>
          <t>Refi 6.5%</t>
        </is>
      </c>
      <c r="Q91" s="116" t="inlineStr">
        <is>
          <t>No Refi</t>
        </is>
      </c>
    </row>
    <row r="92">
      <c r="B92" t="inlineStr">
        <is>
          <t>Land $/SF</t>
        </is>
      </c>
      <c r="N92" s="54" t="n">
        <v>275</v>
      </c>
      <c r="O92" s="54" t="n">
        <v>300</v>
      </c>
      <c r="P92" s="54" t="n">
        <v>300</v>
      </c>
      <c r="Q92" s="54" t="n">
        <v>300</v>
      </c>
    </row>
    <row r="93">
      <c r="B93" t="inlineStr">
        <is>
          <t>NOI Stress (x)</t>
        </is>
      </c>
      <c r="N93" s="117" t="n">
        <v>1</v>
      </c>
      <c r="O93" s="117" t="n">
        <v>0.9</v>
      </c>
      <c r="P93" s="117" t="n">
        <v>1</v>
      </c>
      <c r="Q93" s="117" t="n">
        <v>1</v>
      </c>
    </row>
    <row r="94">
      <c r="B94" t="inlineStr">
        <is>
          <t>Refi Rate</t>
        </is>
      </c>
      <c r="N94" s="118">
        <f>'Operating Model'!C30</f>
        <v/>
      </c>
      <c r="O94" s="118">
        <f>'Operating Model'!C30</f>
        <v/>
      </c>
      <c r="P94" s="118" t="n">
        <v>0.065</v>
      </c>
      <c r="Q94" s="118">
        <f>'Operating Model'!C30</f>
        <v/>
      </c>
    </row>
    <row r="95">
      <c r="B95" t="inlineStr">
        <is>
          <t>Skip Refi (1/0)</t>
        </is>
      </c>
      <c r="N95" t="n">
        <v>1</v>
      </c>
      <c r="O95" t="n">
        <v>0</v>
      </c>
      <c r="P95" t="n">
        <v>0</v>
      </c>
      <c r="Q95" t="n">
        <v>1</v>
      </c>
    </row>
    <row r="96">
      <c r="B96" t="inlineStr">
        <is>
          <t>Hold (yrs)</t>
        </is>
      </c>
      <c r="N96" t="n">
        <v>5</v>
      </c>
      <c r="O96" t="n">
        <v>10</v>
      </c>
      <c r="P96" t="n">
        <v>10</v>
      </c>
      <c r="Q96" t="n">
        <v>10</v>
      </c>
    </row>
    <row r="98">
      <c r="B98" t="inlineStr">
        <is>
          <t>IO pmt</t>
        </is>
      </c>
      <c r="N98" s="54">
        <f>'Operating Model'!$C$10*'Operating Model'!$C$11</f>
        <v/>
      </c>
      <c r="O98" s="54">
        <f>'Operating Model'!$C$10*'Operating Model'!$C$11</f>
        <v/>
      </c>
      <c r="P98" s="54">
        <f>'Operating Model'!$C$10*'Operating Model'!$C$11</f>
        <v/>
      </c>
      <c r="Q98" s="54">
        <f>'Operating Model'!$C$10*'Operating Model'!$C$11</f>
        <v/>
      </c>
    </row>
    <row r="99">
      <c r="B99" t="inlineStr">
        <is>
          <t>Amort pmt</t>
        </is>
      </c>
      <c r="N99" s="54">
        <f>PMT('Operating Model'!$C$11/12,'Operating Model'!$C$13*12,-'Operating Model'!$C$10)*12</f>
        <v/>
      </c>
      <c r="O99" s="54">
        <f>PMT('Operating Model'!$C$11/12,'Operating Model'!$C$13*12,-'Operating Model'!$C$10)*12</f>
        <v/>
      </c>
      <c r="P99" s="54">
        <f>PMT('Operating Model'!$C$11/12,'Operating Model'!$C$13*12,-'Operating Model'!$C$10)*12</f>
        <v/>
      </c>
      <c r="Q99" s="54">
        <f>PMT('Operating Model'!$C$11/12,'Operating Model'!$C$13*12,-'Operating Model'!$C$10)*12</f>
        <v/>
      </c>
    </row>
    <row r="100">
      <c r="B100" t="inlineStr">
        <is>
          <t>NewLoan (refi)</t>
        </is>
      </c>
      <c r="N100" s="54">
        <f>IF(N95=1,0,('Operating Model'!$G$21*N93)/'Operating Model'!$C$28*'Operating Model'!$C$29)</f>
        <v/>
      </c>
      <c r="O100" s="54">
        <f>IF(O95=1,0,('Operating Model'!$G$21*O93)/'Operating Model'!$C$28*'Operating Model'!$C$29)</f>
        <v/>
      </c>
      <c r="P100" s="54">
        <f>IF(P95=1,0,('Operating Model'!$G$21*P93)/'Operating Model'!$C$28*'Operating Model'!$C$29)</f>
        <v/>
      </c>
      <c r="Q100" s="54">
        <f>IF(Q95=1,0,('Operating Model'!$G$21*Q93)/'Operating Model'!$C$28*'Operating Model'!$C$29)</f>
        <v/>
      </c>
    </row>
    <row r="101">
      <c r="B101" t="inlineStr">
        <is>
          <t>OldBal Yr5</t>
        </is>
      </c>
      <c r="N101" s="54">
        <f>FV('Operating Model'!$C$11/12,(5-'Operating Model'!$C$12)*12,PMT('Operating Model'!$C$11/12,'Operating Model'!$C$13*12,-'Operating Model'!$C$10),-'Operating Model'!$C$10)</f>
        <v/>
      </c>
      <c r="O101" s="54">
        <f>FV('Operating Model'!$C$11/12,(5-'Operating Model'!$C$12)*12,PMT('Operating Model'!$C$11/12,'Operating Model'!$C$13*12,-'Operating Model'!$C$10),-'Operating Model'!$C$10)</f>
        <v/>
      </c>
      <c r="P101" s="54">
        <f>FV('Operating Model'!$C$11/12,(5-'Operating Model'!$C$12)*12,PMT('Operating Model'!$C$11/12,'Operating Model'!$C$13*12,-'Operating Model'!$C$10),-'Operating Model'!$C$10)</f>
        <v/>
      </c>
      <c r="Q101" s="54">
        <f>FV('Operating Model'!$C$11/12,(5-'Operating Model'!$C$12)*12,PMT('Operating Model'!$C$11/12,'Operating Model'!$C$13*12,-'Operating Model'!$C$10),-'Operating Model'!$C$10)</f>
        <v/>
      </c>
    </row>
    <row r="102">
      <c r="B102" t="inlineStr">
        <is>
          <t>RefiCO</t>
        </is>
      </c>
      <c r="N102" s="54">
        <f>IF(N95=1,0,N100-N101-N100*'Operating Model'!$C$33)</f>
        <v/>
      </c>
      <c r="O102" s="54">
        <f>IF(O95=1,0,O100-O101-O100*'Operating Model'!$C$33)</f>
        <v/>
      </c>
      <c r="P102" s="54">
        <f>IF(P95=1,0,P100-P101-P100*'Operating Model'!$C$33)</f>
        <v/>
      </c>
      <c r="Q102" s="54">
        <f>IF(Q95=1,0,Q100-Q101-Q100*'Operating Model'!$C$33)</f>
        <v/>
      </c>
    </row>
    <row r="103">
      <c r="B103" t="inlineStr">
        <is>
          <t>RefiIO</t>
        </is>
      </c>
      <c r="N103" s="54">
        <f>IF(N95=1,0,N100*N94)</f>
        <v/>
      </c>
      <c r="O103" s="54">
        <f>IF(O95=1,0,O100*O94)</f>
        <v/>
      </c>
      <c r="P103" s="54">
        <f>IF(P95=1,0,P100*P94)</f>
        <v/>
      </c>
      <c r="Q103" s="54">
        <f>IF(Q95=1,0,Q100*Q94)</f>
        <v/>
      </c>
    </row>
    <row r="104">
      <c r="B104" t="inlineStr">
        <is>
          <t>RefiAmort</t>
        </is>
      </c>
      <c r="N104" s="54">
        <f>IF(N95=1,0,PMT(N94/12,'Operating Model'!$C$13*12,-N100)*12)</f>
        <v/>
      </c>
      <c r="O104" s="54">
        <f>IF(O95=1,0,PMT(O94/12,'Operating Model'!$C$13*12,-O100)*12)</f>
        <v/>
      </c>
      <c r="P104" s="54">
        <f>IF(P95=1,0,PMT(P94/12,'Operating Model'!$C$13*12,-P100)*12)</f>
        <v/>
      </c>
      <c r="Q104" s="54">
        <f>IF(Q95=1,0,PMT(Q94/12,'Operating Model'!$C$13*12,-Q100)*12)</f>
        <v/>
      </c>
    </row>
    <row r="105">
      <c r="B105" t="inlineStr">
        <is>
          <t>ExitBal</t>
        </is>
      </c>
      <c r="N105" s="54">
        <f>IF(N95=1,IF(N96=5,N101,FV('Operating Model'!$C$11/12,(N96-'Operating Model'!$C$12)*12,PMT('Operating Model'!$C$11/12,'Operating Model'!$C$13*12,-'Operating Model'!$C$10),-'Operating Model'!$C$10)),FV(N94/12,(N96-5-'Operating Model'!$C$12)*12,PMT(N94/12,'Operating Model'!$C$13*12,-N100),-N100))</f>
        <v/>
      </c>
      <c r="O105" s="54">
        <f>IF(O95=1,IF(O96=5,O101,FV('Operating Model'!$C$11/12,(O96-'Operating Model'!$C$12)*12,PMT('Operating Model'!$C$11/12,'Operating Model'!$C$13*12,-'Operating Model'!$C$10),-'Operating Model'!$C$10)),FV(O94/12,(O96-5-'Operating Model'!$C$12)*12,PMT(O94/12,'Operating Model'!$C$13*12,-O100),-O100))</f>
        <v/>
      </c>
      <c r="P105" s="54">
        <f>IF(P95=1,IF(P96=5,P101,FV('Operating Model'!$C$11/12,(P96-'Operating Model'!$C$12)*12,PMT('Operating Model'!$C$11/12,'Operating Model'!$C$13*12,-'Operating Model'!$C$10),-'Operating Model'!$C$10)),FV(P94/12,(P96-5-'Operating Model'!$C$12)*12,PMT(P94/12,'Operating Model'!$C$13*12,-P100),-P100))</f>
        <v/>
      </c>
      <c r="Q105" s="54">
        <f>IF(Q95=1,IF(Q96=5,Q101,FV('Operating Model'!$C$11/12,(Q96-'Operating Model'!$C$12)*12,PMT('Operating Model'!$C$11/12,'Operating Model'!$C$13*12,-'Operating Model'!$C$10),-'Operating Model'!$C$10)),FV(Q94/12,(Q96-5-'Operating Model'!$C$12)*12,PMT(Q94/12,'Operating Model'!$C$13*12,-Q100),-Q100))</f>
        <v/>
      </c>
    </row>
    <row r="106">
      <c r="B106" t="inlineStr">
        <is>
          <t>NetSale</t>
        </is>
      </c>
      <c r="N106" s="54">
        <f>N92*'Operating Model'!$C$18*0.98-N105</f>
        <v/>
      </c>
      <c r="O106" s="54">
        <f>O92*'Operating Model'!$C$18*0.98-O105</f>
        <v/>
      </c>
      <c r="P106" s="54">
        <f>P92*'Operating Model'!$C$18*0.98-P105</f>
        <v/>
      </c>
      <c r="Q106" s="54">
        <f>Q92*'Operating Model'!$C$18*0.98-Q105</f>
        <v/>
      </c>
    </row>
    <row r="108">
      <c r="B108" t="inlineStr">
        <is>
          <t>CF Yr 0 (-Equity)</t>
        </is>
      </c>
      <c r="N108" s="54">
        <f>-'Operating Model'!$C$14</f>
        <v/>
      </c>
      <c r="O108" s="54">
        <f>-'Operating Model'!$C$14</f>
        <v/>
      </c>
      <c r="P108" s="54">
        <f>-'Operating Model'!$C$14</f>
        <v/>
      </c>
      <c r="Q108" s="54">
        <f>-'Operating Model'!$C$14</f>
        <v/>
      </c>
    </row>
    <row r="109">
      <c r="B109" t="inlineStr">
        <is>
          <t>LP Op Dist Yr 1</t>
        </is>
      </c>
      <c r="N109" s="54">
        <f>IF(1&gt;N96,0,('Operating Model'!$C$21*N93-'Operating Model'!$C$47-N98)+IF(AND(1=5,N95=0),N102,0)-'LP Waterfall'!$C$8)</f>
        <v/>
      </c>
      <c r="O109" s="54">
        <f>IF(1&gt;O96,0,('Operating Model'!$C$21*O93-'Operating Model'!$C$47-O98)+IF(AND(1=5,O95=0),O102,0)-'LP Waterfall'!$C$8)</f>
        <v/>
      </c>
      <c r="P109" s="54">
        <f>IF(1&gt;P96,0,('Operating Model'!$C$21*P93-'Operating Model'!$C$47-P98)+IF(AND(1=5,P95=0),P102,0)-'LP Waterfall'!$C$8)</f>
        <v/>
      </c>
      <c r="Q109" s="54">
        <f>IF(1&gt;Q96,0,('Operating Model'!$C$21*Q93-'Operating Model'!$C$47-Q98)+IF(AND(1=5,Q95=0),Q102,0)-'LP Waterfall'!$C$8)</f>
        <v/>
      </c>
    </row>
    <row r="110">
      <c r="B110" t="inlineStr">
        <is>
          <t>LP Op Dist Yr 2</t>
        </is>
      </c>
      <c r="N110" s="54">
        <f>IF(2&gt;N96,0,('Operating Model'!$D$21*N93-'Operating Model'!$C$47-N98)+IF(AND(2=5,N95=0),N102,0)-'LP Waterfall'!$C$8)</f>
        <v/>
      </c>
      <c r="O110" s="54">
        <f>IF(2&gt;O96,0,('Operating Model'!$D$21*O93-'Operating Model'!$C$47-O98)+IF(AND(2=5,O95=0),O102,0)-'LP Waterfall'!$C$8)</f>
        <v/>
      </c>
      <c r="P110" s="54">
        <f>IF(2&gt;P96,0,('Operating Model'!$D$21*P93-'Operating Model'!$C$47-P98)+IF(AND(2=5,P95=0),P102,0)-'LP Waterfall'!$C$8)</f>
        <v/>
      </c>
      <c r="Q110" s="54">
        <f>IF(2&gt;Q96,0,('Operating Model'!$D$21*Q93-'Operating Model'!$C$47-Q98)+IF(AND(2=5,Q95=0),Q102,0)-'LP Waterfall'!$C$8)</f>
        <v/>
      </c>
    </row>
    <row r="111">
      <c r="B111" t="inlineStr">
        <is>
          <t>LP Op Dist Yr 3</t>
        </is>
      </c>
      <c r="N111" s="54">
        <f>IF(3&gt;N96,0,('Operating Model'!$E$21*N93-'Operating Model'!$C$47-N99)+IF(AND(3=5,N95=0),N102,0)-'LP Waterfall'!$C$8)</f>
        <v/>
      </c>
      <c r="O111" s="54">
        <f>IF(3&gt;O96,0,('Operating Model'!$E$21*O93-'Operating Model'!$C$47-O99)+IF(AND(3=5,O95=0),O102,0)-'LP Waterfall'!$C$8)</f>
        <v/>
      </c>
      <c r="P111" s="54">
        <f>IF(3&gt;P96,0,('Operating Model'!$E$21*P93-'Operating Model'!$C$47-P99)+IF(AND(3=5,P95=0),P102,0)-'LP Waterfall'!$C$8)</f>
        <v/>
      </c>
      <c r="Q111" s="54">
        <f>IF(3&gt;Q96,0,('Operating Model'!$E$21*Q93-'Operating Model'!$C$47-Q99)+IF(AND(3=5,Q95=0),Q102,0)-'LP Waterfall'!$C$8)</f>
        <v/>
      </c>
    </row>
    <row r="112">
      <c r="B112" t="inlineStr">
        <is>
          <t>LP Op Dist Yr 4</t>
        </is>
      </c>
      <c r="N112" s="54">
        <f>IF(4&gt;N96,0,('Operating Model'!$F$21*N93-'Operating Model'!$C$47-N99)+IF(AND(4=5,N95=0),N102,0)-'LP Waterfall'!$C$8)</f>
        <v/>
      </c>
      <c r="O112" s="54">
        <f>IF(4&gt;O96,0,('Operating Model'!$F$21*O93-'Operating Model'!$C$47-O99)+IF(AND(4=5,O95=0),O102,0)-'LP Waterfall'!$C$8)</f>
        <v/>
      </c>
      <c r="P112" s="54">
        <f>IF(4&gt;P96,0,('Operating Model'!$F$21*P93-'Operating Model'!$C$47-P99)+IF(AND(4=5,P95=0),P102,0)-'LP Waterfall'!$C$8)</f>
        <v/>
      </c>
      <c r="Q112" s="54">
        <f>IF(4&gt;Q96,0,('Operating Model'!$F$21*Q93-'Operating Model'!$C$47-Q99)+IF(AND(4=5,Q95=0),Q102,0)-'LP Waterfall'!$C$8)</f>
        <v/>
      </c>
    </row>
    <row r="113">
      <c r="B113" t="inlineStr">
        <is>
          <t>LP Op Dist Yr 5</t>
        </is>
      </c>
      <c r="N113" s="54">
        <f>IF(5&gt;N96,0,('Operating Model'!$G$21*N93-'Operating Model'!$C$47-N99)+IF(AND(5=5,N95=0),N102,0)-'LP Waterfall'!$C$8)</f>
        <v/>
      </c>
      <c r="O113" s="54">
        <f>IF(5&gt;O96,0,('Operating Model'!$G$21*O93-'Operating Model'!$C$47-O99)+IF(AND(5=5,O95=0),O102,0)-'LP Waterfall'!$C$8)</f>
        <v/>
      </c>
      <c r="P113" s="54">
        <f>IF(5&gt;P96,0,('Operating Model'!$G$21*P93-'Operating Model'!$C$47-P99)+IF(AND(5=5,P95=0),P102,0)-'LP Waterfall'!$C$8)</f>
        <v/>
      </c>
      <c r="Q113" s="54">
        <f>IF(5&gt;Q96,0,('Operating Model'!$G$21*Q93-'Operating Model'!$C$47-Q99)+IF(AND(5=5,Q95=0),Q102,0)-'LP Waterfall'!$C$8)</f>
        <v/>
      </c>
    </row>
    <row r="114">
      <c r="B114" t="inlineStr">
        <is>
          <t>LP Op Dist Yr 6</t>
        </is>
      </c>
      <c r="N114" s="54">
        <f>IF(6&gt;N96,0,('Operating Model'!$H$21*N93-'Operating Model'!$C$47-IF(N95=1,N99,N103))+IF(AND(6=5,N95=0),N102,0)-'LP Waterfall'!$C$8)</f>
        <v/>
      </c>
      <c r="O114" s="54">
        <f>IF(6&gt;O96,0,('Operating Model'!$H$21*O93-'Operating Model'!$C$47-IF(O95=1,O99,O103))+IF(AND(6=5,O95=0),O102,0)-'LP Waterfall'!$C$8)</f>
        <v/>
      </c>
      <c r="P114" s="54">
        <f>IF(6&gt;P96,0,('Operating Model'!$H$21*P93-'Operating Model'!$C$47-IF(P95=1,P99,P103))+IF(AND(6=5,P95=0),P102,0)-'LP Waterfall'!$C$8)</f>
        <v/>
      </c>
      <c r="Q114" s="54">
        <f>IF(6&gt;Q96,0,('Operating Model'!$H$21*Q93-'Operating Model'!$C$47-IF(Q95=1,Q99,Q103))+IF(AND(6=5,Q95=0),Q102,0)-'LP Waterfall'!$C$8)</f>
        <v/>
      </c>
    </row>
    <row r="115">
      <c r="B115" t="inlineStr">
        <is>
          <t>LP Op Dist Yr 7</t>
        </is>
      </c>
      <c r="N115" s="54">
        <f>IF(7&gt;N96,0,('Operating Model'!$I$21*N93-'Operating Model'!$C$47-IF(N95=1,N99,N103))+IF(AND(7=5,N95=0),N102,0)-'LP Waterfall'!$C$8)</f>
        <v/>
      </c>
      <c r="O115" s="54">
        <f>IF(7&gt;O96,0,('Operating Model'!$I$21*O93-'Operating Model'!$C$47-IF(O95=1,O99,O103))+IF(AND(7=5,O95=0),O102,0)-'LP Waterfall'!$C$8)</f>
        <v/>
      </c>
      <c r="P115" s="54">
        <f>IF(7&gt;P96,0,('Operating Model'!$I$21*P93-'Operating Model'!$C$47-IF(P95=1,P99,P103))+IF(AND(7=5,P95=0),P102,0)-'LP Waterfall'!$C$8)</f>
        <v/>
      </c>
      <c r="Q115" s="54">
        <f>IF(7&gt;Q96,0,('Operating Model'!$I$21*Q93-'Operating Model'!$C$47-IF(Q95=1,Q99,Q103))+IF(AND(7=5,Q95=0),Q102,0)-'LP Waterfall'!$C$8)</f>
        <v/>
      </c>
    </row>
    <row r="116">
      <c r="B116" t="inlineStr">
        <is>
          <t>LP Op Dist Yr 8</t>
        </is>
      </c>
      <c r="N116" s="54">
        <f>IF(8&gt;N96,0,('Operating Model'!$J$21*N93-'Operating Model'!$C$47-IF(N95=1,N99,N104))+IF(AND(8=5,N95=0),N102,0)-'LP Waterfall'!$C$8)</f>
        <v/>
      </c>
      <c r="O116" s="54">
        <f>IF(8&gt;O96,0,('Operating Model'!$J$21*O93-'Operating Model'!$C$47-IF(O95=1,O99,O104))+IF(AND(8=5,O95=0),O102,0)-'LP Waterfall'!$C$8)</f>
        <v/>
      </c>
      <c r="P116" s="54">
        <f>IF(8&gt;P96,0,('Operating Model'!$J$21*P93-'Operating Model'!$C$47-IF(P95=1,P99,P104))+IF(AND(8=5,P95=0),P102,0)-'LP Waterfall'!$C$8)</f>
        <v/>
      </c>
      <c r="Q116" s="54">
        <f>IF(8&gt;Q96,0,('Operating Model'!$J$21*Q93-'Operating Model'!$C$47-IF(Q95=1,Q99,Q104))+IF(AND(8=5,Q95=0),Q102,0)-'LP Waterfall'!$C$8)</f>
        <v/>
      </c>
    </row>
    <row r="117">
      <c r="B117" t="inlineStr">
        <is>
          <t>LP Op Dist Yr 9</t>
        </is>
      </c>
      <c r="N117" s="54">
        <f>IF(9&gt;N96,0,('Operating Model'!$K$21*N93-'Operating Model'!$C$47-IF(N95=1,N99,N104))+IF(AND(9=5,N95=0),N102,0)-'LP Waterfall'!$C$8)</f>
        <v/>
      </c>
      <c r="O117" s="54">
        <f>IF(9&gt;O96,0,('Operating Model'!$K$21*O93-'Operating Model'!$C$47-IF(O95=1,O99,O104))+IF(AND(9=5,O95=0),O102,0)-'LP Waterfall'!$C$8)</f>
        <v/>
      </c>
      <c r="P117" s="54">
        <f>IF(9&gt;P96,0,('Operating Model'!$K$21*P93-'Operating Model'!$C$47-IF(P95=1,P99,P104))+IF(AND(9=5,P95=0),P102,0)-'LP Waterfall'!$C$8)</f>
        <v/>
      </c>
      <c r="Q117" s="54">
        <f>IF(9&gt;Q96,0,('Operating Model'!$K$21*Q93-'Operating Model'!$C$47-IF(Q95=1,Q99,Q104))+IF(AND(9=5,Q95=0),Q102,0)-'LP Waterfall'!$C$8)</f>
        <v/>
      </c>
    </row>
    <row r="118">
      <c r="B118" t="inlineStr">
        <is>
          <t>LP Op Dist Yr 10</t>
        </is>
      </c>
      <c r="N118" s="54">
        <f>IF(10&gt;N96,0,('Operating Model'!$L$21*N93-'Operating Model'!$C$47-IF(N95=1,N99,N104))+IF(AND(10=5,N95=0),N102,0)-'LP Waterfall'!$C$8)</f>
        <v/>
      </c>
      <c r="O118" s="54">
        <f>IF(10&gt;O96,0,('Operating Model'!$L$21*O93-'Operating Model'!$C$47-IF(O95=1,O99,O104))+IF(AND(10=5,O95=0),O102,0)-'LP Waterfall'!$C$8)</f>
        <v/>
      </c>
      <c r="P118" s="54">
        <f>IF(10&gt;P96,0,('Operating Model'!$L$21*P93-'Operating Model'!$C$47-IF(P95=1,P99,P104))+IF(AND(10=5,P95=0),P102,0)-'LP Waterfall'!$C$8)</f>
        <v/>
      </c>
      <c r="Q118" s="54">
        <f>IF(10&gt;Q96,0,('Operating Model'!$L$21*Q93-'Operating Model'!$C$47-IF(Q95=1,Q99,Q104))+IF(AND(10=5,Q95=0),Q102,0)-'LP Waterfall'!$C$8)</f>
        <v/>
      </c>
    </row>
    <row r="120">
      <c r="B120" t="inlineStr">
        <is>
          <t>CumOpDist (thru hold)</t>
        </is>
      </c>
      <c r="N120" s="54">
        <f>SUM(N109:N118)</f>
        <v/>
      </c>
      <c r="O120" s="54">
        <f>SUM(O109:O118)</f>
        <v/>
      </c>
      <c r="P120" s="54">
        <f>SUM(P109:P118)</f>
        <v/>
      </c>
      <c r="Q120" s="54">
        <f>SUM(Q109:Q118)</f>
        <v/>
      </c>
    </row>
    <row r="121">
      <c r="B121" t="inlineStr">
        <is>
          <t>TotalValue (Sale + CumOpDist incl mgmt fee drag)</t>
        </is>
      </c>
      <c r="N121" s="54">
        <f>N106+N120</f>
        <v/>
      </c>
      <c r="O121" s="54">
        <f>O106+O120</f>
        <v/>
      </c>
      <c r="P121" s="54">
        <f>P106+P120</f>
        <v/>
      </c>
      <c r="Q121" s="54">
        <f>Q106+Q120</f>
        <v/>
      </c>
    </row>
    <row r="122">
      <c r="B122" t="inlineStr">
        <is>
          <t>TotLPDist (Tiers)</t>
        </is>
      </c>
      <c r="N122" s="54">
        <f>MIN(N121,'Operating Model'!$C$14)+MIN(MAX(N121-'Operating Model'!$C$14,0),'Operating Model'!$C$14*('LP Waterfall'!$C$10-1))+MAX(N121-'Operating Model'!$C$14*'LP Waterfall'!$C$10,0)*'LP Waterfall'!$C$12</f>
        <v/>
      </c>
      <c r="O122" s="54">
        <f>MIN(O121,'Operating Model'!$C$14)+MIN(MAX(O121-'Operating Model'!$C$14,0),'Operating Model'!$C$14*('LP Waterfall'!$C$10-1))+MAX(O121-'Operating Model'!$C$14*'LP Waterfall'!$C$10,0)*'LP Waterfall'!$C$12</f>
        <v/>
      </c>
      <c r="P122" s="54">
        <f>MIN(P121,'Operating Model'!$C$14)+MIN(MAX(P121-'Operating Model'!$C$14,0),'Operating Model'!$C$14*('LP Waterfall'!$C$10-1))+MAX(P121-'Operating Model'!$C$14*'LP Waterfall'!$C$10,0)*'LP Waterfall'!$C$12</f>
        <v/>
      </c>
      <c r="Q122" s="54">
        <f>MIN(Q121,'Operating Model'!$C$14)+MIN(MAX(Q121-'Operating Model'!$C$14,0),'Operating Model'!$C$14*('LP Waterfall'!$C$10-1))+MAX(Q121-'Operating Model'!$C$14*'LP Waterfall'!$C$10,0)*'LP Waterfall'!$C$12</f>
        <v/>
      </c>
    </row>
    <row r="123">
      <c r="B123" t="inlineStr">
        <is>
          <t>LP SaleProceeds</t>
        </is>
      </c>
      <c r="N123" s="54">
        <f>N122-N120</f>
        <v/>
      </c>
      <c r="O123" s="54">
        <f>O122-O120</f>
        <v/>
      </c>
      <c r="P123" s="54">
        <f>P122-P120</f>
        <v/>
      </c>
      <c r="Q123" s="54">
        <f>Q122-Q120</f>
        <v/>
      </c>
    </row>
    <row r="124">
      <c r="B124" t="inlineStr">
        <is>
          <t>LP IRR</t>
        </is>
      </c>
    </row>
    <row r="125">
      <c r="B125" t="inlineStr">
        <is>
          <t>LP Multiple</t>
        </is>
      </c>
    </row>
    <row r="126">
      <c r="B126" t="inlineStr">
        <is>
          <t>LP CF Yr 1 (w/sale)</t>
        </is>
      </c>
      <c r="N126" s="54">
        <f>N109+IF(1=N96,N123,0)</f>
        <v/>
      </c>
      <c r="O126" s="54">
        <f>O109+IF(1=O96,O123,0)</f>
        <v/>
      </c>
      <c r="P126" s="54">
        <f>P109+IF(1=P96,P123,0)</f>
        <v/>
      </c>
      <c r="Q126" s="54">
        <f>Q109+IF(1=Q96,Q123,0)</f>
        <v/>
      </c>
    </row>
    <row r="127">
      <c r="B127" t="inlineStr">
        <is>
          <t>LP CF Yr 2 (w/sale)</t>
        </is>
      </c>
      <c r="N127" s="54">
        <f>N110+IF(2=N96,N123,0)</f>
        <v/>
      </c>
      <c r="O127" s="54">
        <f>O110+IF(2=O96,O123,0)</f>
        <v/>
      </c>
      <c r="P127" s="54">
        <f>P110+IF(2=P96,P123,0)</f>
        <v/>
      </c>
      <c r="Q127" s="54">
        <f>Q110+IF(2=Q96,Q123,0)</f>
        <v/>
      </c>
    </row>
    <row r="128">
      <c r="B128" t="inlineStr">
        <is>
          <t>LP CF Yr 3 (w/sale)</t>
        </is>
      </c>
      <c r="N128" s="54">
        <f>N111+IF(3=N96,N123,0)</f>
        <v/>
      </c>
      <c r="O128" s="54">
        <f>O111+IF(3=O96,O123,0)</f>
        <v/>
      </c>
      <c r="P128" s="54">
        <f>P111+IF(3=P96,P123,0)</f>
        <v/>
      </c>
      <c r="Q128" s="54">
        <f>Q111+IF(3=Q96,Q123,0)</f>
        <v/>
      </c>
    </row>
    <row r="129">
      <c r="B129" t="inlineStr">
        <is>
          <t>LP CF Yr 4 (w/sale)</t>
        </is>
      </c>
      <c r="N129" s="54">
        <f>N112+IF(4=N96,N123,0)</f>
        <v/>
      </c>
      <c r="O129" s="54">
        <f>O112+IF(4=O96,O123,0)</f>
        <v/>
      </c>
      <c r="P129" s="54">
        <f>P112+IF(4=P96,P123,0)</f>
        <v/>
      </c>
      <c r="Q129" s="54">
        <f>Q112+IF(4=Q96,Q123,0)</f>
        <v/>
      </c>
    </row>
    <row r="130">
      <c r="B130" t="inlineStr">
        <is>
          <t>LP CF Yr 5 (w/sale)</t>
        </is>
      </c>
      <c r="N130" s="54">
        <f>N113+IF(5=N96,N123,0)</f>
        <v/>
      </c>
      <c r="O130" s="54">
        <f>O113+IF(5=O96,O123,0)</f>
        <v/>
      </c>
      <c r="P130" s="54">
        <f>P113+IF(5=P96,P123,0)</f>
        <v/>
      </c>
      <c r="Q130" s="54">
        <f>Q113+IF(5=Q96,Q123,0)</f>
        <v/>
      </c>
    </row>
    <row r="131">
      <c r="B131" t="inlineStr">
        <is>
          <t>LP CF Yr 6 (w/sale)</t>
        </is>
      </c>
      <c r="N131" s="54">
        <f>N114+IF(6=N96,N123,0)</f>
        <v/>
      </c>
      <c r="O131" s="54">
        <f>O114+IF(6=O96,O123,0)</f>
        <v/>
      </c>
      <c r="P131" s="54">
        <f>P114+IF(6=P96,P123,0)</f>
        <v/>
      </c>
      <c r="Q131" s="54">
        <f>Q114+IF(6=Q96,Q123,0)</f>
        <v/>
      </c>
    </row>
    <row r="132">
      <c r="B132" t="inlineStr">
        <is>
          <t>LP CF Yr 7 (w/sale)</t>
        </is>
      </c>
      <c r="N132" s="54">
        <f>N115+IF(7=N96,N123,0)</f>
        <v/>
      </c>
      <c r="O132" s="54">
        <f>O115+IF(7=O96,O123,0)</f>
        <v/>
      </c>
      <c r="P132" s="54">
        <f>P115+IF(7=P96,P123,0)</f>
        <v/>
      </c>
      <c r="Q132" s="54">
        <f>Q115+IF(7=Q96,Q123,0)</f>
        <v/>
      </c>
    </row>
    <row r="133">
      <c r="B133" t="inlineStr">
        <is>
          <t>LP CF Yr 8 (w/sale)</t>
        </is>
      </c>
      <c r="N133" s="54">
        <f>N116+IF(8=N96,N123,0)</f>
        <v/>
      </c>
      <c r="O133" s="54">
        <f>O116+IF(8=O96,O123,0)</f>
        <v/>
      </c>
      <c r="P133" s="54">
        <f>P116+IF(8=P96,P123,0)</f>
        <v/>
      </c>
      <c r="Q133" s="54">
        <f>Q116+IF(8=Q96,Q123,0)</f>
        <v/>
      </c>
    </row>
    <row r="134">
      <c r="B134" t="inlineStr">
        <is>
          <t>LP CF Yr 9 (w/sale)</t>
        </is>
      </c>
      <c r="N134" s="54">
        <f>N117+IF(9=N96,N123,0)</f>
        <v/>
      </c>
      <c r="O134" s="54">
        <f>O117+IF(9=O96,O123,0)</f>
        <v/>
      </c>
      <c r="P134" s="54">
        <f>P117+IF(9=P96,P123,0)</f>
        <v/>
      </c>
      <c r="Q134" s="54">
        <f>Q117+IF(9=Q96,Q123,0)</f>
        <v/>
      </c>
    </row>
    <row r="135">
      <c r="B135" t="inlineStr">
        <is>
          <t>LP CF Yr 10 (w/sale)</t>
        </is>
      </c>
      <c r="N135" s="54">
        <f>N118+IF(10=N96,N123,0)</f>
        <v/>
      </c>
      <c r="O135" s="54">
        <f>O118+IF(10=O96,O123,0)</f>
        <v/>
      </c>
      <c r="P135" s="54">
        <f>P118+IF(10=P96,P123,0)</f>
        <v/>
      </c>
      <c r="Q135" s="54">
        <f>Q118+IF(10=Q96,Q123,0)</f>
        <v/>
      </c>
    </row>
    <row r="136">
      <c r="B136" t="inlineStr">
        <is>
          <t>LP IRR</t>
        </is>
      </c>
      <c r="N136">
        <f>IRR(N108:N135)</f>
        <v/>
      </c>
      <c r="O136">
        <f>IRR(O108:O135)</f>
        <v/>
      </c>
      <c r="P136">
        <f>IRR(P108:P135)</f>
        <v/>
      </c>
      <c r="Q136">
        <f>IRR(Q108:Q135)</f>
        <v/>
      </c>
    </row>
    <row r="137">
      <c r="B137" t="inlineStr">
        <is>
          <t>LP Multiple</t>
        </is>
      </c>
    </row>
    <row r="140">
      <c r="B140" t="inlineStr">
        <is>
          <t>CF Yr 0</t>
        </is>
      </c>
      <c r="N140" s="54">
        <f>N108</f>
        <v/>
      </c>
      <c r="O140" s="54">
        <f>O108</f>
        <v/>
      </c>
      <c r="P140" s="54">
        <f>P108</f>
        <v/>
      </c>
      <c r="Q140" s="54">
        <f>Q108</f>
        <v/>
      </c>
    </row>
    <row r="141">
      <c r="B141" t="inlineStr">
        <is>
          <t>CF Yr 1</t>
        </is>
      </c>
      <c r="N141" s="54">
        <f>N126</f>
        <v/>
      </c>
      <c r="O141" s="54">
        <f>O126</f>
        <v/>
      </c>
      <c r="P141" s="54">
        <f>P126</f>
        <v/>
      </c>
      <c r="Q141" s="54">
        <f>Q126</f>
        <v/>
      </c>
    </row>
    <row r="142">
      <c r="B142" t="inlineStr">
        <is>
          <t>CF Yr 2</t>
        </is>
      </c>
      <c r="N142" s="54">
        <f>N127</f>
        <v/>
      </c>
      <c r="O142" s="54">
        <f>O127</f>
        <v/>
      </c>
      <c r="P142" s="54">
        <f>P127</f>
        <v/>
      </c>
      <c r="Q142" s="54">
        <f>Q127</f>
        <v/>
      </c>
    </row>
    <row r="143">
      <c r="B143" t="inlineStr">
        <is>
          <t>CF Yr 3</t>
        </is>
      </c>
      <c r="N143" s="54">
        <f>N128</f>
        <v/>
      </c>
      <c r="O143" s="54">
        <f>O128</f>
        <v/>
      </c>
      <c r="P143" s="54">
        <f>P128</f>
        <v/>
      </c>
      <c r="Q143" s="54">
        <f>Q128</f>
        <v/>
      </c>
    </row>
    <row r="144">
      <c r="B144" t="inlineStr">
        <is>
          <t>CF Yr 4</t>
        </is>
      </c>
      <c r="N144" s="54">
        <f>N129</f>
        <v/>
      </c>
      <c r="O144" s="54">
        <f>O129</f>
        <v/>
      </c>
      <c r="P144" s="54">
        <f>P129</f>
        <v/>
      </c>
      <c r="Q144" s="54">
        <f>Q129</f>
        <v/>
      </c>
    </row>
    <row r="145">
      <c r="B145" t="inlineStr">
        <is>
          <t>CF Yr 5</t>
        </is>
      </c>
      <c r="N145" s="54">
        <f>N130</f>
        <v/>
      </c>
      <c r="O145" s="54">
        <f>O130</f>
        <v/>
      </c>
      <c r="P145" s="54">
        <f>P130</f>
        <v/>
      </c>
      <c r="Q145" s="54">
        <f>Q130</f>
        <v/>
      </c>
    </row>
    <row r="146">
      <c r="B146" t="inlineStr">
        <is>
          <t>CF Yr 6</t>
        </is>
      </c>
      <c r="N146" s="54">
        <f>N131</f>
        <v/>
      </c>
      <c r="O146" s="54">
        <f>O131</f>
        <v/>
      </c>
      <c r="P146" s="54">
        <f>P131</f>
        <v/>
      </c>
      <c r="Q146" s="54">
        <f>Q131</f>
        <v/>
      </c>
    </row>
    <row r="147">
      <c r="B147" t="inlineStr">
        <is>
          <t>CF Yr 7</t>
        </is>
      </c>
      <c r="N147" s="54">
        <f>N132</f>
        <v/>
      </c>
      <c r="O147" s="54">
        <f>O132</f>
        <v/>
      </c>
      <c r="P147" s="54">
        <f>P132</f>
        <v/>
      </c>
      <c r="Q147" s="54">
        <f>Q132</f>
        <v/>
      </c>
    </row>
    <row r="148">
      <c r="B148" t="inlineStr">
        <is>
          <t>CF Yr 8</t>
        </is>
      </c>
      <c r="N148" s="54">
        <f>N133</f>
        <v/>
      </c>
      <c r="O148" s="54">
        <f>O133</f>
        <v/>
      </c>
      <c r="P148" s="54">
        <f>P133</f>
        <v/>
      </c>
      <c r="Q148" s="54">
        <f>Q133</f>
        <v/>
      </c>
    </row>
    <row r="149">
      <c r="B149" t="inlineStr">
        <is>
          <t>CF Yr 9</t>
        </is>
      </c>
      <c r="N149" s="54">
        <f>N134</f>
        <v/>
      </c>
      <c r="O149" s="54">
        <f>O134</f>
        <v/>
      </c>
      <c r="P149" s="54">
        <f>P134</f>
        <v/>
      </c>
      <c r="Q149" s="54">
        <f>Q134</f>
        <v/>
      </c>
    </row>
    <row r="150">
      <c r="B150" t="inlineStr">
        <is>
          <t>CF Yr 10</t>
        </is>
      </c>
      <c r="N150" s="54">
        <f>N135</f>
        <v/>
      </c>
      <c r="O150" s="54">
        <f>O135</f>
        <v/>
      </c>
      <c r="P150" s="54">
        <f>P135</f>
        <v/>
      </c>
      <c r="Q150" s="54">
        <f>Q135</f>
        <v/>
      </c>
    </row>
    <row r="152">
      <c r="B152" t="inlineStr">
        <is>
          <t>LP IRR</t>
        </is>
      </c>
      <c r="N152" s="119">
        <f>IRR(N140:N150)</f>
        <v/>
      </c>
      <c r="O152" s="119">
        <f>IRR(O140:O150)</f>
        <v/>
      </c>
      <c r="P152" s="119">
        <f>IRR(P140:P150)</f>
        <v/>
      </c>
      <c r="Q152" s="119">
        <f>IRR(Q140:Q150)</f>
        <v/>
      </c>
    </row>
    <row r="153">
      <c r="B153" t="inlineStr">
        <is>
          <t>LP Multiple</t>
        </is>
      </c>
      <c r="N153" s="120">
        <f>SUM(N141:N150)/(-N140)</f>
        <v/>
      </c>
      <c r="O153" s="120">
        <f>SUM(O141:O150)/(-O140)</f>
        <v/>
      </c>
      <c r="P153" s="120">
        <f>SUM(P141:P150)/(-P140)</f>
        <v/>
      </c>
      <c r="Q153" s="120">
        <f>SUM(Q141:Q150)/(-Q140)</f>
        <v/>
      </c>
    </row>
    <row r="160">
      <c r="B160" s="275" t="inlineStr">
        <is>
          <t>EXIT CAP RATE SENSITIVITY — YEAR 5 INSTITUTIONAL EXIT</t>
        </is>
      </c>
    </row>
    <row r="161">
      <c r="B161" s="276" t="inlineStr">
        <is>
          <t>Year 5 NOI capitalized at each exit cap rate.  Op cash flows, debt service, disposition costs constant.  Mirrors deck slide 16 (Return Scenarios) + slide 22 (Belay).  Edit '5-Yr Exit Scenarios'!C49 to update labeled base case.</t>
        </is>
      </c>
    </row>
    <row r="163">
      <c r="B163" s="277" t="inlineStr">
        <is>
          <t>Exit Cap</t>
        </is>
      </c>
      <c r="C163" s="277" t="inlineStr">
        <is>
          <t>Gross Sale</t>
        </is>
      </c>
      <c r="D163" s="277" t="inlineStr">
        <is>
          <t>Disposition (2%)</t>
        </is>
      </c>
      <c r="E163" s="277" t="inlineStr">
        <is>
          <t>Loan Payoff (Y5)</t>
        </is>
      </c>
      <c r="F163" s="277" t="inlineStr">
        <is>
          <t>Net to Equity</t>
        </is>
      </c>
      <c r="G163" s="277" t="inlineStr">
        <is>
          <t>Project IRR</t>
        </is>
      </c>
      <c r="H163" s="277" t="inlineStr">
        <is>
          <t>Project EM</t>
        </is>
      </c>
      <c r="I163" s="277" t="inlineStr">
        <is>
          <t>LP IRR (net)</t>
        </is>
      </c>
      <c r="J163" s="277" t="inlineStr">
        <is>
          <t>LP EM (net)</t>
        </is>
      </c>
      <c r="K163" s="277" t="inlineStr">
        <is>
          <t>Notes</t>
        </is>
      </c>
    </row>
    <row r="164">
      <c r="B164" s="278" t="n">
        <v>0.045</v>
      </c>
      <c r="C164" s="279" t="n">
        <v>46321933.33333334</v>
      </c>
      <c r="D164" s="279" t="n">
        <v>926438.6666666667</v>
      </c>
      <c r="E164" s="279" t="n">
        <v>18666665</v>
      </c>
      <c r="F164" s="279" t="n">
        <v>26728829.66666667</v>
      </c>
      <c r="G164" s="278" t="n">
        <v>0.1982459061182015</v>
      </c>
      <c r="H164" s="280" t="n">
        <v>2.331408743589744</v>
      </c>
      <c r="I164" s="278" t="n">
        <v>0.1657489581121861</v>
      </c>
      <c r="J164" s="280" t="n">
        <v>2.065126994871795</v>
      </c>
    </row>
    <row r="165">
      <c r="B165" s="278" t="n">
        <v>0.0475</v>
      </c>
      <c r="C165" s="279" t="n">
        <v>43883936.84210526</v>
      </c>
      <c r="D165" s="279" t="n">
        <v>877678.7368421053</v>
      </c>
      <c r="E165" s="279" t="n">
        <v>18666665</v>
      </c>
      <c r="F165" s="279" t="n">
        <v>24339593.10526316</v>
      </c>
      <c r="G165" s="278" t="n">
        <v>0.1781396805667875</v>
      </c>
      <c r="H165" s="280" t="n">
        <v>2.147621315789474</v>
      </c>
      <c r="I165" s="278" t="n">
        <v>0.1481385496676706</v>
      </c>
      <c r="J165" s="280" t="n">
        <v>1.918097052631579</v>
      </c>
    </row>
    <row r="166">
      <c r="B166" s="281" t="n">
        <v>0.05</v>
      </c>
      <c r="C166" s="282" t="n">
        <v>41689740</v>
      </c>
      <c r="D166" s="282" t="n">
        <v>833794.8</v>
      </c>
      <c r="E166" s="282" t="n">
        <v>18666665</v>
      </c>
      <c r="F166" s="282" t="n">
        <v>22189280.2</v>
      </c>
      <c r="G166" s="281" t="n">
        <v>0.1587354981965722</v>
      </c>
      <c r="H166" s="283" t="n">
        <v>1.982212630769231</v>
      </c>
      <c r="I166" s="281" t="n">
        <v>0.1312747197744399</v>
      </c>
      <c r="J166" s="283" t="n">
        <v>1.785770104615385</v>
      </c>
      <c r="K166" s="276" t="inlineStr">
        <is>
          <t>← Upside compression (trophy buyer thesis)</t>
        </is>
      </c>
    </row>
    <row r="167">
      <c r="B167" s="278" t="n">
        <v>0.0525</v>
      </c>
      <c r="C167" s="279" t="n">
        <v>39704514.28571428</v>
      </c>
      <c r="D167" s="279" t="n">
        <v>794090.2857142857</v>
      </c>
      <c r="E167" s="279" t="n">
        <v>18666665</v>
      </c>
      <c r="F167" s="279" t="n">
        <v>20243759</v>
      </c>
      <c r="G167" s="278" t="n">
        <v>0.1399296308900157</v>
      </c>
      <c r="H167" s="280" t="n">
        <v>1.832557153846154</v>
      </c>
      <c r="I167" s="278" t="n">
        <v>0.1150657578116268</v>
      </c>
      <c r="J167" s="280" t="n">
        <v>1.666045723076923</v>
      </c>
    </row>
    <row r="168">
      <c r="B168" s="284" t="n">
        <v>0.055</v>
      </c>
      <c r="C168" s="285" t="n">
        <v>37899763.63636363</v>
      </c>
      <c r="D168" s="285" t="n">
        <v>757995.2727272727</v>
      </c>
      <c r="E168" s="285" t="n">
        <v>18666665</v>
      </c>
      <c r="F168" s="285" t="n">
        <v>18475103.36363636</v>
      </c>
      <c r="G168" s="284" t="n">
        <v>0.1216305843692452</v>
      </c>
      <c r="H168" s="286" t="n">
        <v>1.69650672027972</v>
      </c>
      <c r="I168" s="284" t="n">
        <v>0.09943256332777346</v>
      </c>
      <c r="J168" s="286" t="n">
        <v>1.557205376223776</v>
      </c>
      <c r="K168" s="268" t="inlineStr">
        <is>
          <t>← BASE DOWNSIDE  ·  conservative end of disclosed comps</t>
        </is>
      </c>
    </row>
    <row r="169">
      <c r="B169" s="278" t="n">
        <v>0.0575</v>
      </c>
      <c r="C169" s="279" t="n">
        <v>36251947.82608695</v>
      </c>
      <c r="D169" s="279" t="n">
        <v>725038.9565217391</v>
      </c>
      <c r="E169" s="279" t="n">
        <v>18666665</v>
      </c>
      <c r="F169" s="279" t="n">
        <v>16860243.86956521</v>
      </c>
      <c r="G169" s="278" t="n">
        <v>0.1037563780461653</v>
      </c>
      <c r="H169" s="280" t="n">
        <v>1.572286759197324</v>
      </c>
      <c r="I169" s="278" t="n">
        <v>0.08430621218037709</v>
      </c>
      <c r="J169" s="280" t="n">
        <v>1.457829407357859</v>
      </c>
    </row>
    <row r="170">
      <c r="B170" s="278" t="n">
        <v>0.06</v>
      </c>
      <c r="C170" s="279" t="n">
        <v>34741450</v>
      </c>
      <c r="D170" s="279" t="n">
        <v>694829</v>
      </c>
      <c r="E170" s="279" t="n">
        <v>18666665</v>
      </c>
      <c r="F170" s="279" t="n">
        <v>15379956</v>
      </c>
      <c r="G170" s="278" t="n">
        <v>0.08623233509999416</v>
      </c>
      <c r="H170" s="280" t="n">
        <v>1.458418461538461</v>
      </c>
      <c r="I170" s="278" t="n">
        <v>0.06962604593210436</v>
      </c>
      <c r="J170" s="280" t="n">
        <v>1.366734769230769</v>
      </c>
    </row>
    <row r="171">
      <c r="B171" s="278" t="n">
        <v>0.0625</v>
      </c>
      <c r="C171" s="279" t="n">
        <v>33351792</v>
      </c>
      <c r="D171" s="279" t="n">
        <v>667035.84</v>
      </c>
      <c r="E171" s="279" t="n">
        <v>18666665</v>
      </c>
      <c r="F171" s="279" t="n">
        <v>14018091.16</v>
      </c>
      <c r="G171" s="278" t="n">
        <v>0.06898923222052276</v>
      </c>
      <c r="H171" s="280" t="n">
        <v>1.353659627692308</v>
      </c>
      <c r="I171" s="278" t="n">
        <v>0.05533815052361061</v>
      </c>
      <c r="J171" s="280" t="n">
        <v>1.282927702153846</v>
      </c>
    </row>
    <row r="172">
      <c r="B172" s="278" t="n">
        <v>0.065</v>
      </c>
      <c r="C172" s="279" t="n">
        <v>32069030.76923077</v>
      </c>
      <c r="D172" s="279" t="n">
        <v>641380.6153846154</v>
      </c>
      <c r="E172" s="279" t="n">
        <v>18666665</v>
      </c>
      <c r="F172" s="279" t="n">
        <v>12760985.15384615</v>
      </c>
      <c r="G172" s="278" t="n">
        <v>0.0519616940509833</v>
      </c>
      <c r="H172" s="280" t="n">
        <v>1.256959165680473</v>
      </c>
      <c r="I172" s="278" t="n">
        <v>0.03932672257080046</v>
      </c>
      <c r="J172" s="280" t="n">
        <v>1.194459165680473</v>
      </c>
    </row>
    <row r="174">
      <c r="B174" s="276" t="inlineStr">
        <is>
          <t>Inputs (cell refs): Y5 NOI = 'Operating Model'!G21  ·  Loan Payoff Y5 = 'Operating Model'!C37  ·  Equity = 'Operating Model'!C14  ·  Op CF Y1-Y5 = '5-Yr Exit Scenarios'!C24:G24  ·  Mgmt Fee = 'LP Waterfall'!C8  ·  Pref = 1.25× · LP/GP split = 80/20.  Values pre-computed in Python (2026.05.20) to avoid Excel array-literal limitations.</t>
        </is>
      </c>
    </row>
  </sheetData>
  <mergeCells count="3">
    <mergeCell ref="B161:K161"/>
    <mergeCell ref="B174:K174"/>
    <mergeCell ref="B160:K160"/>
  </mergeCells>
  <pageMargins left="0.75" right="0.75" top="1" bottom="1" header="0.511811023622047" footer="0.511811023622047"/>
  <pageSetup orientation="landscape" horizontalDpi="300" verticalDpi="300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B2:L55"/>
  <sheetViews>
    <sheetView zoomScale="111" zoomScaleNormal="111" workbookViewId="0">
      <selection activeCell="A1" sqref="A1"/>
    </sheetView>
  </sheetViews>
  <sheetFormatPr baseColWidth="10" defaultColWidth="8.83203125" defaultRowHeight="15"/>
  <cols>
    <col width="3" customWidth="1" style="262" min="1" max="1"/>
    <col width="34" customWidth="1" style="262" min="2" max="2"/>
    <col width="18" customWidth="1" style="262" min="3" max="3"/>
    <col width="15" customWidth="1" style="262" min="4" max="13"/>
  </cols>
  <sheetData>
    <row r="2" ht="16.5" customHeight="1" s="262">
      <c r="B2" s="63" t="inlineStr">
        <is>
          <t>OPERATING MODEL</t>
        </is>
      </c>
    </row>
    <row r="3" ht="15" customHeight="1" s="262">
      <c r="B3" s="64" t="inlineStr">
        <is>
          <t>10-Year Hold  |  2-Yr IO, 30-Yr Amort  |  Yr 5 Refinance</t>
        </is>
      </c>
    </row>
    <row r="5" ht="15" customHeight="1" s="262">
      <c r="B5" s="65" t="inlineStr">
        <is>
          <t>ACQUISITION &amp; FINANCING</t>
        </is>
      </c>
    </row>
    <row r="6" ht="15" customHeight="1" s="262">
      <c r="B6" s="66" t="inlineStr">
        <is>
          <t>Purchase Price</t>
        </is>
      </c>
      <c r="C6" s="67" t="n">
        <v>31750000</v>
      </c>
    </row>
    <row r="7" ht="15" customHeight="1" s="262">
      <c r="B7" s="66" t="inlineStr">
        <is>
          <t>Acq Fee + Closing</t>
        </is>
      </c>
      <c r="C7" s="68" t="n">
        <v>0.02362204</v>
      </c>
    </row>
    <row r="8" ht="15" customHeight="1" s="262">
      <c r="B8" s="66" t="inlineStr">
        <is>
          <t>Total Basis</t>
        </is>
      </c>
      <c r="C8" s="69">
        <f>C6*(1+C7)</f>
        <v/>
      </c>
    </row>
    <row r="9" ht="15" customHeight="1" s="262">
      <c r="B9" s="66" t="inlineStr">
        <is>
          <t>LTV</t>
        </is>
      </c>
      <c r="C9" s="70" t="n">
        <v>0.6</v>
      </c>
    </row>
    <row r="10" ht="15" customHeight="1" s="262">
      <c r="B10" s="66" t="inlineStr">
        <is>
          <t>Loan Amount</t>
        </is>
      </c>
      <c r="C10" s="71">
        <f>C8*C9</f>
        <v/>
      </c>
    </row>
    <row r="11" ht="15" customHeight="1" s="262">
      <c r="B11" s="66" t="inlineStr">
        <is>
          <t>Interest Rate</t>
        </is>
      </c>
      <c r="C11" s="72" t="n">
        <v>0.055</v>
      </c>
    </row>
    <row r="12" ht="15" customHeight="1" s="262">
      <c r="B12" s="66" t="inlineStr">
        <is>
          <t>IO Period (yrs)</t>
        </is>
      </c>
      <c r="C12" s="73" t="n">
        <v>2</v>
      </c>
    </row>
    <row r="13" ht="15" customHeight="1" s="262">
      <c r="B13" s="66" t="inlineStr">
        <is>
          <t>Amortization</t>
        </is>
      </c>
      <c r="C13" s="73" t="n">
        <v>30</v>
      </c>
    </row>
    <row r="14" ht="15" customHeight="1" s="262">
      <c r="B14" s="66" t="inlineStr">
        <is>
          <t>Equity Required</t>
        </is>
      </c>
      <c r="C14" s="74">
        <f>C8-C10</f>
        <v/>
      </c>
    </row>
    <row r="15" ht="15" customHeight="1" s="262">
      <c r="B15" s="66" t="inlineStr">
        <is>
          <t>Going-in Cap Rate</t>
        </is>
      </c>
      <c r="C15" s="75">
        <f>C21/C6</f>
        <v/>
      </c>
    </row>
    <row r="16" ht="15" customHeight="1" s="262">
      <c r="B16" s="66" t="inlineStr">
        <is>
          <t>IO Annual Payment</t>
        </is>
      </c>
      <c r="C16" s="71">
        <f>C10*C11</f>
        <v/>
      </c>
    </row>
    <row r="17" ht="15" customHeight="1" s="262">
      <c r="B17" s="66" t="inlineStr">
        <is>
          <t>Amort Annual Payment</t>
        </is>
      </c>
      <c r="C17" s="71">
        <f>PMT(C11/12,C13*12,-C10)*12</f>
        <v/>
      </c>
    </row>
    <row r="18" ht="15" customHeight="1" s="262">
      <c r="B18" s="66" t="inlineStr">
        <is>
          <t>Land Area (SF)</t>
        </is>
      </c>
      <c r="C18" s="76" t="n">
        <v>197762</v>
      </c>
    </row>
    <row r="20" ht="15" customHeight="1" s="262">
      <c r="B20" s="77" t="inlineStr">
        <is>
          <t>10-YEAR CASH FLOW</t>
        </is>
      </c>
      <c r="C20" s="78" t="inlineStr">
        <is>
          <t>Year 1</t>
        </is>
      </c>
      <c r="D20" s="78" t="inlineStr">
        <is>
          <t>Year 2</t>
        </is>
      </c>
      <c r="E20" s="78" t="inlineStr">
        <is>
          <t>Year 3</t>
        </is>
      </c>
      <c r="F20" s="78" t="inlineStr">
        <is>
          <t>Year 4</t>
        </is>
      </c>
      <c r="G20" s="78" t="inlineStr">
        <is>
          <t>Year 5</t>
        </is>
      </c>
      <c r="H20" s="78" t="inlineStr">
        <is>
          <t>Year 6</t>
        </is>
      </c>
      <c r="I20" s="78" t="inlineStr">
        <is>
          <t>Year 7</t>
        </is>
      </c>
      <c r="J20" s="78" t="inlineStr">
        <is>
          <t>Year 8</t>
        </is>
      </c>
      <c r="K20" s="78" t="inlineStr">
        <is>
          <t>Year 9</t>
        </is>
      </c>
      <c r="L20" s="78" t="inlineStr">
        <is>
          <t>Year 10</t>
        </is>
      </c>
    </row>
    <row r="21" ht="15" customHeight="1" s="262">
      <c r="B21" s="66" t="inlineStr">
        <is>
          <t>Net Operating Income</t>
        </is>
      </c>
      <c r="C21" s="71" t="n">
        <v>1887280</v>
      </c>
      <c r="D21" s="71" t="n">
        <v>1894842</v>
      </c>
      <c r="E21" s="71" t="n">
        <v>2015060</v>
      </c>
      <c r="F21" s="71" t="n">
        <v>2009428</v>
      </c>
      <c r="G21" s="71" t="n">
        <v>2084487</v>
      </c>
      <c r="H21" s="71" t="n">
        <v>2098424</v>
      </c>
      <c r="I21" s="71" t="n">
        <v>2221803</v>
      </c>
      <c r="J21" s="71" t="n">
        <v>2232552</v>
      </c>
      <c r="K21" s="71" t="n">
        <v>2202023</v>
      </c>
      <c r="L21" s="71" t="n">
        <v>2286285</v>
      </c>
    </row>
    <row r="22" ht="15" customHeight="1" s="262">
      <c r="B22" s="66" t="inlineStr">
        <is>
          <t>Less: CapEx Reserve</t>
        </is>
      </c>
      <c r="C22" s="71">
        <f>$C$47</f>
        <v/>
      </c>
      <c r="D22" s="71">
        <f>$C$47</f>
        <v/>
      </c>
      <c r="E22" s="71">
        <f>$C$47</f>
        <v/>
      </c>
      <c r="F22" s="71">
        <f>$C$47</f>
        <v/>
      </c>
      <c r="G22" s="71">
        <f>$C$47</f>
        <v/>
      </c>
      <c r="H22" s="71">
        <f>$C$47</f>
        <v/>
      </c>
      <c r="I22" s="71">
        <f>$C$47</f>
        <v/>
      </c>
      <c r="J22" s="71">
        <f>$C$47</f>
        <v/>
      </c>
      <c r="K22" s="71">
        <f>$C$47</f>
        <v/>
      </c>
      <c r="L22" s="71">
        <f>$C$47</f>
        <v/>
      </c>
    </row>
    <row r="23" ht="15" customHeight="1" s="262">
      <c r="B23" s="66" t="inlineStr">
        <is>
          <t>Less: Debt Service</t>
        </is>
      </c>
      <c r="C23" s="79">
        <f>$C$16</f>
        <v/>
      </c>
      <c r="D23" s="79">
        <f>$C$16</f>
        <v/>
      </c>
      <c r="E23" s="79">
        <f>$C$17</f>
        <v/>
      </c>
      <c r="F23" s="79">
        <f>$C$17</f>
        <v/>
      </c>
      <c r="G23" s="79">
        <f>$C$17</f>
        <v/>
      </c>
      <c r="H23" s="79">
        <f>$C$40</f>
        <v/>
      </c>
      <c r="I23" s="79">
        <f>$C$40</f>
        <v/>
      </c>
      <c r="J23" s="79">
        <f>$C$41</f>
        <v/>
      </c>
      <c r="K23" s="79">
        <f>$C$41</f>
        <v/>
      </c>
      <c r="L23" s="79">
        <f>$C$41</f>
        <v/>
      </c>
    </row>
    <row r="24" ht="15" customHeight="1" s="262">
      <c r="B24" s="63" t="inlineStr">
        <is>
          <t>Operating Cash Flow</t>
        </is>
      </c>
      <c r="C24" s="80">
        <f>C21-C22-C23</f>
        <v/>
      </c>
      <c r="D24" s="80">
        <f>D21-D22-D23</f>
        <v/>
      </c>
      <c r="E24" s="80">
        <f>E21-E22-E23</f>
        <v/>
      </c>
      <c r="F24" s="80">
        <f>F21-F22-F23</f>
        <v/>
      </c>
      <c r="G24" s="80">
        <f>G21-G22-G23</f>
        <v/>
      </c>
      <c r="H24" s="80">
        <f>H21-H22-H23</f>
        <v/>
      </c>
      <c r="I24" s="80">
        <f>I21-I22-I23</f>
        <v/>
      </c>
      <c r="J24" s="80">
        <f>J21-J22-J23</f>
        <v/>
      </c>
      <c r="K24" s="80">
        <f>K21-K22-K23</f>
        <v/>
      </c>
      <c r="L24" s="80">
        <f>L21-L22-L23</f>
        <v/>
      </c>
    </row>
    <row r="25" ht="15" customFormat="1" customHeight="1" s="81">
      <c r="B25" s="82" t="inlineStr">
        <is>
          <t>DSCR</t>
        </is>
      </c>
      <c r="C25" s="83">
        <f>C21/C23</f>
        <v/>
      </c>
      <c r="D25" s="83">
        <f>D21/D23</f>
        <v/>
      </c>
      <c r="E25" s="83">
        <f>E21/E23</f>
        <v/>
      </c>
      <c r="F25" s="83">
        <f>F21/F23</f>
        <v/>
      </c>
      <c r="G25" s="83">
        <f>G21/G23</f>
        <v/>
      </c>
      <c r="H25" s="83">
        <f>H21/H23</f>
        <v/>
      </c>
      <c r="I25" s="83">
        <f>I21/I23</f>
        <v/>
      </c>
      <c r="J25" s="83">
        <f>J21/J23</f>
        <v/>
      </c>
      <c r="K25" s="83">
        <f>K21/K23</f>
        <v/>
      </c>
      <c r="L25" s="83">
        <f>L21/L23</f>
        <v/>
      </c>
    </row>
    <row r="26" ht="15" customHeight="1" s="262">
      <c r="B26" s="63" t="n"/>
      <c r="C26" s="90" t="n"/>
    </row>
    <row r="27" ht="15" customHeight="1" s="262">
      <c r="B27" s="63" t="inlineStr">
        <is>
          <t>YEAR 5 REFINANCE</t>
        </is>
      </c>
    </row>
    <row r="28" ht="15" customHeight="1" s="262">
      <c r="B28" s="66" t="inlineStr">
        <is>
          <t>Refi Cap Rate</t>
        </is>
      </c>
      <c r="C28" s="68" t="n">
        <v>0.055</v>
      </c>
    </row>
    <row r="29" ht="15" customHeight="1" s="262">
      <c r="B29" s="66" t="inlineStr">
        <is>
          <t>Refi LTV</t>
        </is>
      </c>
      <c r="C29" s="91" t="n">
        <v>0.6</v>
      </c>
    </row>
    <row r="30" ht="15" customHeight="1" s="262">
      <c r="B30" s="66" t="inlineStr">
        <is>
          <t>Refi Rate</t>
        </is>
      </c>
      <c r="C30" s="68" t="n">
        <v>0.05</v>
      </c>
    </row>
    <row r="31" ht="15" customHeight="1" s="262">
      <c r="B31" s="66" t="inlineStr">
        <is>
          <t>Refi IO Period (yrs)</t>
        </is>
      </c>
      <c r="C31" s="92" t="n">
        <v>2</v>
      </c>
    </row>
    <row r="32" ht="15" customHeight="1" s="262">
      <c r="B32" s="66" t="inlineStr">
        <is>
          <t>Refi Amortization</t>
        </is>
      </c>
      <c r="C32" s="92" t="n">
        <v>30</v>
      </c>
    </row>
    <row r="33" ht="15" customHeight="1" s="262">
      <c r="B33" s="66" t="inlineStr">
        <is>
          <t>Refi Cost %</t>
        </is>
      </c>
      <c r="C33" s="91" t="n">
        <v>0.005</v>
      </c>
    </row>
    <row r="35" ht="15" customHeight="1" s="262">
      <c r="B35" s="66" t="inlineStr">
        <is>
          <t>Appraised Value (Yr5)</t>
        </is>
      </c>
      <c r="C35" s="71">
        <f>G21/C28</f>
        <v/>
      </c>
    </row>
    <row r="36" ht="15" customHeight="1" s="262">
      <c r="B36" s="66" t="inlineStr">
        <is>
          <t>New Loan Amount</t>
        </is>
      </c>
      <c r="C36" s="71">
        <f>C35*C29</f>
        <v/>
      </c>
    </row>
    <row r="37" ht="15" customHeight="1" s="262">
      <c r="B37" s="66" t="inlineStr">
        <is>
          <t>Old Loan Bal (Yr5)</t>
        </is>
      </c>
      <c r="C37" s="71">
        <f>FV(C11/12,(5-C12)*12,PMT(C11/12,C13*12,-C10),-C10)</f>
        <v/>
      </c>
    </row>
    <row r="38" ht="15" customHeight="1" s="262">
      <c r="B38" s="66" t="inlineStr">
        <is>
          <t>Refi Closing Costs</t>
        </is>
      </c>
      <c r="C38" s="71">
        <f>C36*C33</f>
        <v/>
      </c>
    </row>
    <row r="39" ht="15" customHeight="1" s="262">
      <c r="B39" s="66" t="inlineStr">
        <is>
          <t>Net Cash-Out</t>
        </is>
      </c>
      <c r="C39" s="71">
        <f>C36-C37-C38</f>
        <v/>
      </c>
    </row>
    <row r="40" ht="15" customHeight="1" s="262">
      <c r="B40" s="66" t="inlineStr">
        <is>
          <t>Refi IO Payment</t>
        </is>
      </c>
      <c r="C40" s="71">
        <f>C36*C30</f>
        <v/>
      </c>
    </row>
    <row r="41" ht="15" customHeight="1" s="262">
      <c r="B41" s="66" t="inlineStr">
        <is>
          <t>Refi Amort Payment</t>
        </is>
      </c>
      <c r="C41" s="71">
        <f>PMT(C30/12,C32*12,-C36)*12</f>
        <v/>
      </c>
    </row>
    <row r="42" ht="15" customHeight="1" s="262">
      <c r="B42" s="66" t="inlineStr">
        <is>
          <t>Exit Loan Bal (Yr10)</t>
        </is>
      </c>
      <c r="C42" s="71">
        <f>FV(C30/12,(5-C31)*12,PMT(C30/12,C32*12,-C36),-C36)</f>
        <v/>
      </c>
    </row>
    <row r="44" ht="15" customHeight="1" s="262">
      <c r="B44" s="63" t="inlineStr">
        <is>
          <t>CAPEX RESERVE</t>
        </is>
      </c>
    </row>
    <row r="45" ht="15" customHeight="1" s="262">
      <c r="B45" s="66" t="inlineStr">
        <is>
          <t>Building SF</t>
        </is>
      </c>
      <c r="C45" s="93" t="n">
        <v>48196</v>
      </c>
    </row>
    <row r="46" ht="15" customHeight="1" s="262">
      <c r="B46" s="66" t="inlineStr">
        <is>
          <t>CapEx Reserve $/SF</t>
        </is>
      </c>
      <c r="C46" s="94" t="n">
        <v>0.75</v>
      </c>
    </row>
    <row r="47" ht="15" customHeight="1" s="262">
      <c r="B47" s="66" t="inlineStr">
        <is>
          <t>Annual CapEx Reserve</t>
        </is>
      </c>
      <c r="C47" s="71">
        <f>C45*C46</f>
        <v/>
      </c>
    </row>
    <row r="49" ht="15" customHeight="1" s="262">
      <c r="B49" s="63" t="inlineStr">
        <is>
          <t>RETURN OF CAPITAL &amp; CASH-ON-CASH</t>
        </is>
      </c>
    </row>
    <row r="50" ht="15" customHeight="1" s="262">
      <c r="C50" s="95" t="inlineStr">
        <is>
          <t>Year 1</t>
        </is>
      </c>
      <c r="D50" s="95" t="inlineStr">
        <is>
          <t>Year 2</t>
        </is>
      </c>
      <c r="E50" s="95" t="inlineStr">
        <is>
          <t>Year 3</t>
        </is>
      </c>
      <c r="F50" s="95" t="inlineStr">
        <is>
          <t>Year 4</t>
        </is>
      </c>
      <c r="G50" s="95" t="inlineStr">
        <is>
          <t>Year 5</t>
        </is>
      </c>
      <c r="H50" s="95" t="inlineStr">
        <is>
          <t>Year 6</t>
        </is>
      </c>
      <c r="I50" s="95" t="inlineStr">
        <is>
          <t>Year 7</t>
        </is>
      </c>
      <c r="J50" s="95" t="inlineStr">
        <is>
          <t>Year 8</t>
        </is>
      </c>
      <c r="K50" s="95" t="inlineStr">
        <is>
          <t>Year 9</t>
        </is>
      </c>
      <c r="L50" s="95" t="inlineStr">
        <is>
          <t>Year 10</t>
        </is>
      </c>
    </row>
    <row r="51" ht="15" customHeight="1" s="262">
      <c r="B51" s="66" t="inlineStr">
        <is>
          <t>Annual Distribution (incl Refi)</t>
        </is>
      </c>
      <c r="C51" s="71">
        <f>C24</f>
        <v/>
      </c>
      <c r="D51" s="71">
        <f>D24</f>
        <v/>
      </c>
      <c r="E51" s="71">
        <f>E24</f>
        <v/>
      </c>
      <c r="F51" s="71">
        <f>F24</f>
        <v/>
      </c>
      <c r="G51" s="71">
        <f>G24+$C$39</f>
        <v/>
      </c>
      <c r="H51" s="71">
        <f>H24</f>
        <v/>
      </c>
      <c r="I51" s="71">
        <f>I24</f>
        <v/>
      </c>
      <c r="J51" s="71">
        <f>J24</f>
        <v/>
      </c>
      <c r="K51" s="71">
        <f>K24</f>
        <v/>
      </c>
      <c r="L51" s="71">
        <f>L24</f>
        <v/>
      </c>
    </row>
    <row r="52" ht="15" customHeight="1" s="262">
      <c r="B52" s="66" t="inlineStr">
        <is>
          <t>Cash-on-Cash (%)</t>
        </is>
      </c>
      <c r="C52" s="90">
        <f>C51/$C$14</f>
        <v/>
      </c>
      <c r="D52" s="90">
        <f>D51/$C$14</f>
        <v/>
      </c>
      <c r="E52" s="90">
        <f>E51/$C$14</f>
        <v/>
      </c>
      <c r="F52" s="90">
        <f>F51/$C$14</f>
        <v/>
      </c>
      <c r="G52" s="90">
        <f>G51/$C$14</f>
        <v/>
      </c>
      <c r="H52" s="90">
        <f>H51/$C$14</f>
        <v/>
      </c>
      <c r="I52" s="90">
        <f>I51/$C$14</f>
        <v/>
      </c>
      <c r="J52" s="90">
        <f>J51/$C$14</f>
        <v/>
      </c>
      <c r="K52" s="90">
        <f>K51/$C$14</f>
        <v/>
      </c>
      <c r="L52" s="90">
        <f>L51/$C$14</f>
        <v/>
      </c>
    </row>
    <row r="53" ht="15" customHeight="1" s="262">
      <c r="B53" s="66" t="inlineStr">
        <is>
          <t>Cumulative Distribution</t>
        </is>
      </c>
      <c r="C53" s="71">
        <f>C51</f>
        <v/>
      </c>
      <c r="D53" s="71">
        <f>C53+D51</f>
        <v/>
      </c>
      <c r="E53" s="71">
        <f>D53+E51</f>
        <v/>
      </c>
      <c r="F53" s="71">
        <f>E53+F51</f>
        <v/>
      </c>
      <c r="G53" s="71">
        <f>F53+G51</f>
        <v/>
      </c>
      <c r="H53" s="71">
        <f>G53+H51</f>
        <v/>
      </c>
      <c r="I53" s="71">
        <f>H53+I51</f>
        <v/>
      </c>
      <c r="J53" s="71">
        <f>I53+J51</f>
        <v/>
      </c>
      <c r="K53" s="71">
        <f>J53+K51</f>
        <v/>
      </c>
      <c r="L53" s="71">
        <f>K53+L51</f>
        <v/>
      </c>
    </row>
    <row r="54" ht="15" customHeight="1" s="262">
      <c r="B54" s="66" t="inlineStr">
        <is>
          <t>Capital Returned (%)</t>
        </is>
      </c>
      <c r="C54" s="90">
        <f>MIN(C53,$C$14)/$C$14</f>
        <v/>
      </c>
      <c r="D54" s="90">
        <f>MIN(D53,$C$14)/$C$14</f>
        <v/>
      </c>
      <c r="E54" s="90">
        <f>MIN(E53,$C$14)/$C$14</f>
        <v/>
      </c>
      <c r="F54" s="90">
        <f>MIN(F53,$C$14)/$C$14</f>
        <v/>
      </c>
      <c r="G54" s="90">
        <f>MIN(G53,$C$14)/$C$14</f>
        <v/>
      </c>
      <c r="H54" s="90">
        <f>MIN(H53,$C$14)/$C$14</f>
        <v/>
      </c>
      <c r="I54" s="90">
        <f>MIN(I53,$C$14)/$C$14</f>
        <v/>
      </c>
      <c r="J54" s="90">
        <f>MIN(J53,$C$14)/$C$14</f>
        <v/>
      </c>
      <c r="K54" s="90">
        <f>MIN(K53,$C$14)/$C$14</f>
        <v/>
      </c>
      <c r="L54" s="90">
        <f>MIN(L53,$C$14)/$C$14</f>
        <v/>
      </c>
    </row>
    <row r="55" ht="15" customHeight="1" s="262">
      <c r="B55" s="66" t="inlineStr">
        <is>
          <t>Capital Outstanding ($)</t>
        </is>
      </c>
      <c r="C55" s="71">
        <f>MAX($C$14-C53,0)</f>
        <v/>
      </c>
      <c r="D55" s="71">
        <f>MAX($C$14-D53,0)</f>
        <v/>
      </c>
      <c r="E55" s="71">
        <f>MAX($C$14-E53,0)</f>
        <v/>
      </c>
      <c r="F55" s="71">
        <f>MAX($C$14-F53,0)</f>
        <v/>
      </c>
      <c r="G55" s="71">
        <f>MAX($C$14-G53,0)</f>
        <v/>
      </c>
      <c r="H55" s="71">
        <f>MAX($C$14-H53,0)</f>
        <v/>
      </c>
      <c r="I55" s="71">
        <f>MAX($C$14-I53,0)</f>
        <v/>
      </c>
      <c r="J55" s="71">
        <f>MAX($C$14-J53,0)</f>
        <v/>
      </c>
      <c r="K55" s="71">
        <f>MAX($C$14-K53,0)</f>
        <v/>
      </c>
      <c r="L55" s="71">
        <f>MAX($C$14-L53,0)</f>
        <v/>
      </c>
    </row>
  </sheetData>
  <pageMargins left="0.75" right="0.75" top="1" bottom="1" header="0.511811023622047" footer="0.511811023622047"/>
  <pageSetup orientation="portrait" paperSize="9" horizontalDpi="300" verticalDpi="300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2:M187"/>
  <sheetViews>
    <sheetView zoomScale="150" zoomScaleNormal="150" workbookViewId="0">
      <selection activeCell="A1" sqref="A1"/>
    </sheetView>
  </sheetViews>
  <sheetFormatPr baseColWidth="10" defaultColWidth="8.83203125" defaultRowHeight="15"/>
  <cols>
    <col width="3" customWidth="1" style="262" min="1" max="1"/>
    <col width="34" customWidth="1" style="262" min="2" max="2"/>
    <col width="18" customWidth="1" style="262" min="3" max="3"/>
    <col width="15" customWidth="1" style="262" min="4" max="13"/>
  </cols>
  <sheetData>
    <row r="2" ht="16.5" customHeight="1" s="262">
      <c r="B2" s="63" t="inlineStr">
        <is>
          <t>LAND SALE TO MULTIFAMILY DEVELOPER</t>
        </is>
      </c>
    </row>
    <row r="3" ht="15" customHeight="1" s="262">
      <c r="B3" s="64" t="inlineStr">
        <is>
          <t>10-Year Hold, 2-Yr IO | Exit at $300/SF | Next Buyer MF Development</t>
        </is>
      </c>
    </row>
    <row r="5" ht="15" customHeight="1" s="262">
      <c r="B5" s="65" t="inlineStr">
        <is>
          <t>ACQUISITION &amp; FINANCING</t>
        </is>
      </c>
    </row>
    <row r="6" ht="15" customHeight="1" s="262">
      <c r="B6" s="66" t="inlineStr">
        <is>
          <t>Purchase Price</t>
        </is>
      </c>
      <c r="C6" s="67">
        <f>'Operating Model'!C6</f>
        <v/>
      </c>
    </row>
    <row r="7" ht="15" customHeight="1" s="262">
      <c r="B7" s="66" t="inlineStr">
        <is>
          <t>Acq Fee + Closing</t>
        </is>
      </c>
      <c r="C7" s="68">
        <f>'Operating Model'!C7</f>
        <v/>
      </c>
    </row>
    <row r="8" ht="15" customHeight="1" s="262">
      <c r="B8" s="66" t="inlineStr">
        <is>
          <t>Total Basis</t>
        </is>
      </c>
      <c r="C8" s="69">
        <f>C6*(1+C7)</f>
        <v/>
      </c>
    </row>
    <row r="9" ht="15" customHeight="1" s="262">
      <c r="B9" s="66" t="inlineStr">
        <is>
          <t>LTV</t>
        </is>
      </c>
      <c r="C9" s="96">
        <f>'Operating Model'!C9</f>
        <v/>
      </c>
    </row>
    <row r="10" ht="15" customHeight="1" s="262">
      <c r="B10" s="66" t="inlineStr">
        <is>
          <t>Loan Amount</t>
        </is>
      </c>
      <c r="C10" s="71">
        <f>C8*C9</f>
        <v/>
      </c>
    </row>
    <row r="11" ht="15" customHeight="1" s="262">
      <c r="B11" s="66" t="inlineStr">
        <is>
          <t>Interest Rate</t>
        </is>
      </c>
      <c r="C11" s="72" t="n">
        <v>0.055</v>
      </c>
    </row>
    <row r="12" ht="15" customHeight="1" s="262">
      <c r="B12" s="66" t="inlineStr">
        <is>
          <t>IO Period (yrs)</t>
        </is>
      </c>
      <c r="C12" s="73" t="n">
        <v>2</v>
      </c>
    </row>
    <row r="13" ht="15" customHeight="1" s="262">
      <c r="B13" s="66" t="inlineStr">
        <is>
          <t>Amortization</t>
        </is>
      </c>
      <c r="C13" s="73" t="n">
        <v>30</v>
      </c>
    </row>
    <row r="14" ht="15" customHeight="1" s="262">
      <c r="B14" s="66" t="inlineStr">
        <is>
          <t>Equity Required</t>
        </is>
      </c>
      <c r="C14" s="97">
        <f>'Operating Model'!C14</f>
        <v/>
      </c>
    </row>
    <row r="15" ht="15" customHeight="1" s="262">
      <c r="B15" s="66" t="inlineStr">
        <is>
          <t>Going-in Cap Rate</t>
        </is>
      </c>
      <c r="C15" s="75">
        <f>C21/C6</f>
        <v/>
      </c>
    </row>
    <row r="16" ht="15" customHeight="1" s="262">
      <c r="B16" s="66" t="inlineStr">
        <is>
          <t>IO Annual Payment</t>
        </is>
      </c>
      <c r="C16" s="71">
        <f>C10*C11</f>
        <v/>
      </c>
    </row>
    <row r="17" ht="15" customHeight="1" s="262">
      <c r="B17" s="66" t="inlineStr">
        <is>
          <t>Amort Annual Payment</t>
        </is>
      </c>
      <c r="C17" s="71">
        <f>PMT(C11/12,C13*12,-C10)*12</f>
        <v/>
      </c>
    </row>
    <row r="18" ht="15" customHeight="1" s="262">
      <c r="B18" s="66" t="inlineStr">
        <is>
          <t>Land Area (SF)</t>
        </is>
      </c>
      <c r="C18" s="76" t="n">
        <v>197762</v>
      </c>
    </row>
    <row r="20" ht="15" customHeight="1" s="262">
      <c r="B20" s="77" t="inlineStr">
        <is>
          <t>10-YEAR CASH FLOW</t>
        </is>
      </c>
      <c r="C20" s="78" t="inlineStr">
        <is>
          <t>Year 1</t>
        </is>
      </c>
      <c r="D20" s="78" t="inlineStr">
        <is>
          <t>Year 2</t>
        </is>
      </c>
      <c r="E20" s="78" t="inlineStr">
        <is>
          <t>Year 3</t>
        </is>
      </c>
      <c r="F20" s="78" t="inlineStr">
        <is>
          <t>Year 4</t>
        </is>
      </c>
      <c r="G20" s="78" t="inlineStr">
        <is>
          <t>Year 5</t>
        </is>
      </c>
      <c r="H20" s="78" t="inlineStr">
        <is>
          <t>Year 6</t>
        </is>
      </c>
      <c r="I20" s="78" t="inlineStr">
        <is>
          <t>Year 7</t>
        </is>
      </c>
      <c r="J20" s="78" t="inlineStr">
        <is>
          <t>Year 8</t>
        </is>
      </c>
      <c r="K20" s="78" t="inlineStr">
        <is>
          <t>Year 9</t>
        </is>
      </c>
      <c r="L20" s="78" t="inlineStr">
        <is>
          <t>Year 10</t>
        </is>
      </c>
    </row>
    <row r="21" ht="15" customHeight="1" s="262">
      <c r="B21" s="66" t="inlineStr">
        <is>
          <t>Net Operating Income</t>
        </is>
      </c>
      <c r="C21" s="71">
        <f>'Operating Model'!C21</f>
        <v/>
      </c>
      <c r="D21" s="71">
        <f>'Operating Model'!D21</f>
        <v/>
      </c>
      <c r="E21" s="71">
        <f>'Operating Model'!E21</f>
        <v/>
      </c>
      <c r="F21" s="71">
        <f>'Operating Model'!F21</f>
        <v/>
      </c>
      <c r="G21" s="71">
        <f>'Operating Model'!G21</f>
        <v/>
      </c>
      <c r="H21" s="71">
        <f>'Operating Model'!H21</f>
        <v/>
      </c>
      <c r="I21" s="71">
        <f>'Operating Model'!I21</f>
        <v/>
      </c>
      <c r="J21" s="71">
        <f>'Operating Model'!J21</f>
        <v/>
      </c>
      <c r="K21" s="71">
        <f>'Operating Model'!K21</f>
        <v/>
      </c>
      <c r="L21" s="71">
        <f>'Operating Model'!L21</f>
        <v/>
      </c>
    </row>
    <row r="22" ht="15" customHeight="1" s="262">
      <c r="B22" s="66" t="inlineStr">
        <is>
          <t>Less: CapEx Reserve</t>
        </is>
      </c>
      <c r="C22" s="71">
        <f>$C$179</f>
        <v/>
      </c>
      <c r="D22" s="71">
        <f>$C$179</f>
        <v/>
      </c>
      <c r="E22" s="71">
        <f>$C$179</f>
        <v/>
      </c>
      <c r="F22" s="71">
        <f>$C$179</f>
        <v/>
      </c>
      <c r="G22" s="71">
        <f>$C$179</f>
        <v/>
      </c>
      <c r="H22" s="71">
        <f>$C$179</f>
        <v/>
      </c>
      <c r="I22" s="71">
        <f>$C$179</f>
        <v/>
      </c>
      <c r="J22" s="71">
        <f>$C$179</f>
        <v/>
      </c>
      <c r="K22" s="71">
        <f>$C$179</f>
        <v/>
      </c>
      <c r="L22" s="71">
        <f>$C$179</f>
        <v/>
      </c>
    </row>
    <row r="23" ht="15" customHeight="1" s="262">
      <c r="B23" s="66" t="inlineStr">
        <is>
          <t>Less: Debt Service</t>
        </is>
      </c>
      <c r="C23" s="79">
        <f>$C$16</f>
        <v/>
      </c>
      <c r="D23" s="79">
        <f>$C$16</f>
        <v/>
      </c>
      <c r="E23" s="79">
        <f>$C$17</f>
        <v/>
      </c>
      <c r="F23" s="79">
        <f>$C$17</f>
        <v/>
      </c>
      <c r="G23" s="79">
        <f>$C$17</f>
        <v/>
      </c>
      <c r="H23" s="98">
        <f>'Operating Model'!$C$40</f>
        <v/>
      </c>
      <c r="I23" s="98">
        <f>'Operating Model'!$C$40</f>
        <v/>
      </c>
      <c r="J23" s="98">
        <f>'Operating Model'!$C$41</f>
        <v/>
      </c>
      <c r="K23" s="98">
        <f>'Operating Model'!$C$41</f>
        <v/>
      </c>
      <c r="L23" s="98">
        <f>'Operating Model'!$C$41</f>
        <v/>
      </c>
    </row>
    <row r="24" ht="15" customHeight="1" s="262">
      <c r="B24" s="63" t="inlineStr">
        <is>
          <t>Operating Cash Flow</t>
        </is>
      </c>
      <c r="C24" s="80">
        <f>C21-C22-C23</f>
        <v/>
      </c>
      <c r="D24" s="80">
        <f>D21-D22-D23</f>
        <v/>
      </c>
      <c r="E24" s="80">
        <f>E21-E22-E23</f>
        <v/>
      </c>
      <c r="F24" s="80">
        <f>F21-F22-F23</f>
        <v/>
      </c>
      <c r="G24" s="80">
        <f>G21-G22-G23</f>
        <v/>
      </c>
      <c r="H24" s="80">
        <f>H21-H22-H23</f>
        <v/>
      </c>
      <c r="I24" s="80">
        <f>I21-I22-I23</f>
        <v/>
      </c>
      <c r="J24" s="80">
        <f>J21-J22-J23</f>
        <v/>
      </c>
      <c r="K24" s="80">
        <f>K21-K22-K23</f>
        <v/>
      </c>
      <c r="L24" s="80">
        <f>L21-L22-L23</f>
        <v/>
      </c>
    </row>
    <row r="25" ht="15" customFormat="1" customHeight="1" s="81">
      <c r="B25" s="82" t="inlineStr">
        <is>
          <t>DSCR</t>
        </is>
      </c>
      <c r="C25" s="83">
        <f>C21/C23</f>
        <v/>
      </c>
      <c r="D25" s="83">
        <f>D21/D23</f>
        <v/>
      </c>
      <c r="E25" s="83">
        <f>E21/E23</f>
        <v/>
      </c>
      <c r="F25" s="83">
        <f>F21/F23</f>
        <v/>
      </c>
      <c r="G25" s="83">
        <f>G21/G23</f>
        <v/>
      </c>
      <c r="H25" s="83">
        <f>H21/H23</f>
        <v/>
      </c>
      <c r="I25" s="83">
        <f>I21/I23</f>
        <v/>
      </c>
      <c r="J25" s="83">
        <f>J21/J23</f>
        <v/>
      </c>
      <c r="K25" s="83">
        <f>K21/K23</f>
        <v/>
      </c>
      <c r="L25" s="83">
        <f>L21/L23</f>
        <v/>
      </c>
    </row>
    <row r="27" ht="15" customHeight="1" s="262">
      <c r="B27" s="65" t="inlineStr">
        <is>
          <t>SELLER EXIT</t>
        </is>
      </c>
    </row>
    <row r="28" ht="15" customHeight="1" s="262">
      <c r="B28" s="66" t="inlineStr">
        <is>
          <t>Exit $/SF</t>
        </is>
      </c>
      <c r="C28" s="67" t="n">
        <v>300</v>
      </c>
    </row>
    <row r="29" ht="15" customHeight="1" s="262">
      <c r="B29" s="66" t="inlineStr">
        <is>
          <t>Gross Sale Price</t>
        </is>
      </c>
      <c r="C29" s="69">
        <f>C18*C28</f>
        <v/>
      </c>
    </row>
    <row r="30" ht="15" customHeight="1" s="262">
      <c r="B30" s="66" t="inlineStr">
        <is>
          <t>Implied Cap (Yr10 NOI)</t>
        </is>
      </c>
      <c r="C30" s="84">
        <f>L21/C29</f>
        <v/>
      </c>
    </row>
    <row r="31" ht="15" customHeight="1" s="262">
      <c r="B31" s="66" t="inlineStr">
        <is>
          <t>Disposition (2%)</t>
        </is>
      </c>
      <c r="C31" s="71">
        <f>C29*0.02</f>
        <v/>
      </c>
    </row>
    <row r="32" ht="15" customHeight="1" s="262">
      <c r="B32" s="66" t="inlineStr">
        <is>
          <t>Loan Payoff</t>
        </is>
      </c>
      <c r="C32" s="58">
        <f>'Operating Model'!C42</f>
        <v/>
      </c>
    </row>
    <row r="33" ht="15" customHeight="1" s="262">
      <c r="B33" s="66" t="inlineStr">
        <is>
          <t>Net Sale Proceeds</t>
        </is>
      </c>
      <c r="C33" s="74">
        <f>C29-C31-C32</f>
        <v/>
      </c>
    </row>
    <row r="34" ht="15" customHeight="1" s="262">
      <c r="B34" s="66" t="inlineStr">
        <is>
          <t>Going-in $/SF</t>
        </is>
      </c>
      <c r="C34" s="71">
        <f>C6/C18</f>
        <v/>
      </c>
    </row>
    <row r="35" ht="15" customHeight="1" s="262">
      <c r="B35" s="66" t="inlineStr">
        <is>
          <t>Land Appreciation</t>
        </is>
      </c>
      <c r="C35" s="90">
        <f>(C28-C34)/C34</f>
        <v/>
      </c>
    </row>
    <row r="37" ht="15" customHeight="1" s="262">
      <c r="B37" s="65" t="inlineStr">
        <is>
          <t>SELLER LEVERED CASH FLOW</t>
        </is>
      </c>
      <c r="C37" s="78" t="inlineStr">
        <is>
          <t>Year 1</t>
        </is>
      </c>
      <c r="D37" s="78" t="inlineStr">
        <is>
          <t>Year 2</t>
        </is>
      </c>
      <c r="E37" s="78" t="inlineStr">
        <is>
          <t>Year 3</t>
        </is>
      </c>
      <c r="F37" s="78" t="inlineStr">
        <is>
          <t>Year 4</t>
        </is>
      </c>
      <c r="G37" s="78" t="inlineStr">
        <is>
          <t>Year 5</t>
        </is>
      </c>
      <c r="H37" s="78" t="inlineStr">
        <is>
          <t>Year 6</t>
        </is>
      </c>
      <c r="I37" s="78" t="inlineStr">
        <is>
          <t>Year 7</t>
        </is>
      </c>
      <c r="J37" s="78" t="inlineStr">
        <is>
          <t>Year 8</t>
        </is>
      </c>
      <c r="K37" s="78" t="inlineStr">
        <is>
          <t>Year 9</t>
        </is>
      </c>
      <c r="L37" s="78" t="inlineStr">
        <is>
          <t>Year 10</t>
        </is>
      </c>
    </row>
    <row r="38" ht="15" customHeight="1" s="262">
      <c r="B38" s="66" t="inlineStr">
        <is>
          <t>Operating Cash Flow</t>
        </is>
      </c>
      <c r="C38" s="71">
        <f>C24</f>
        <v/>
      </c>
      <c r="D38" s="71">
        <f>D24</f>
        <v/>
      </c>
      <c r="E38" s="71">
        <f>E24</f>
        <v/>
      </c>
      <c r="F38" s="71">
        <f>F24</f>
        <v/>
      </c>
      <c r="G38" s="71">
        <f>G24</f>
        <v/>
      </c>
      <c r="H38" s="71">
        <f>H24</f>
        <v/>
      </c>
      <c r="I38" s="71">
        <f>I24</f>
        <v/>
      </c>
      <c r="J38" s="71">
        <f>J24</f>
        <v/>
      </c>
      <c r="K38" s="71">
        <f>K24</f>
        <v/>
      </c>
      <c r="L38" s="71">
        <f>L24</f>
        <v/>
      </c>
    </row>
    <row r="39" ht="15" customHeight="1" s="262">
      <c r="B39" s="51" t="inlineStr">
        <is>
          <t>Refi Cash-Out (Yr 5)</t>
        </is>
      </c>
      <c r="C39" s="85" t="n">
        <v>0</v>
      </c>
      <c r="D39" s="85" t="n">
        <v>0</v>
      </c>
      <c r="E39" s="85" t="n">
        <v>0</v>
      </c>
      <c r="F39" s="85" t="n">
        <v>0</v>
      </c>
      <c r="G39" s="58">
        <f>'Operating Model'!C39</f>
        <v/>
      </c>
      <c r="H39" s="85" t="n">
        <v>0</v>
      </c>
      <c r="I39" s="85" t="n">
        <v>0</v>
      </c>
      <c r="J39" s="85" t="n">
        <v>0</v>
      </c>
      <c r="K39" s="85" t="n">
        <v>0</v>
      </c>
      <c r="L39" s="85" t="n">
        <v>0</v>
      </c>
    </row>
    <row r="40" ht="15" customHeight="1" s="262">
      <c r="B40" s="51" t="inlineStr">
        <is>
          <t>Net Sale Proceeds</t>
        </is>
      </c>
      <c r="C40" s="86" t="n">
        <v>0</v>
      </c>
      <c r="D40" s="86" t="n">
        <v>0</v>
      </c>
      <c r="E40" s="86" t="n">
        <v>0</v>
      </c>
      <c r="F40" s="86" t="n">
        <v>0</v>
      </c>
      <c r="G40" s="86" t="n">
        <v>0</v>
      </c>
      <c r="H40" s="86" t="n">
        <v>0</v>
      </c>
      <c r="I40" s="86" t="n">
        <v>0</v>
      </c>
      <c r="J40" s="86" t="n">
        <v>0</v>
      </c>
      <c r="K40" s="86" t="n">
        <v>0</v>
      </c>
      <c r="L40" s="86">
        <f>C33</f>
        <v/>
      </c>
    </row>
    <row r="41" ht="15" customHeight="1" s="262">
      <c r="B41" s="34" t="inlineStr">
        <is>
          <t>Total Cash Flow</t>
        </is>
      </c>
      <c r="C41" s="87">
        <f>C38+C39+C40</f>
        <v/>
      </c>
      <c r="D41" s="87">
        <f>D38+D39+D40</f>
        <v/>
      </c>
      <c r="E41" s="87">
        <f>E38+E39+E40</f>
        <v/>
      </c>
      <c r="F41" s="87">
        <f>F38+F39+F40</f>
        <v/>
      </c>
      <c r="G41" s="87">
        <f>G38+G39+G40</f>
        <v/>
      </c>
      <c r="H41" s="87">
        <f>H38+H39+H40</f>
        <v/>
      </c>
      <c r="I41" s="87">
        <f>I38+I39+I40</f>
        <v/>
      </c>
      <c r="J41" s="87">
        <f>J38+J39+J40</f>
        <v/>
      </c>
      <c r="K41" s="87">
        <f>K38+K39+K40</f>
        <v/>
      </c>
      <c r="L41" s="87">
        <f>L38+L39+L40</f>
        <v/>
      </c>
    </row>
    <row r="43" ht="15" customHeight="1" s="262">
      <c r="B43" s="66" t="inlineStr">
        <is>
          <t>Cash Flows for IRR</t>
        </is>
      </c>
      <c r="C43" s="71">
        <f>-C14</f>
        <v/>
      </c>
      <c r="D43" s="71">
        <f>C41</f>
        <v/>
      </c>
      <c r="E43" s="71">
        <f>D41</f>
        <v/>
      </c>
      <c r="F43" s="71">
        <f>E41</f>
        <v/>
      </c>
      <c r="G43" s="71">
        <f>F41</f>
        <v/>
      </c>
      <c r="H43" s="71">
        <f>G41</f>
        <v/>
      </c>
      <c r="I43" s="71">
        <f>H41</f>
        <v/>
      </c>
      <c r="J43" s="71">
        <f>I41</f>
        <v/>
      </c>
      <c r="K43" s="71">
        <f>J41</f>
        <v/>
      </c>
      <c r="L43" s="71">
        <f>K41</f>
        <v/>
      </c>
      <c r="M43" s="71">
        <f>L41</f>
        <v/>
      </c>
    </row>
    <row r="44" ht="18" customHeight="1" s="262">
      <c r="B44" s="63" t="inlineStr">
        <is>
          <t>SELLER LEVERAGED IRR</t>
        </is>
      </c>
      <c r="C44" s="88">
        <f>IRR(C43:M43)</f>
        <v/>
      </c>
    </row>
    <row r="45" ht="15" customHeight="1" s="262">
      <c r="B45" s="66" t="inlineStr">
        <is>
          <t>Equity Multiple</t>
        </is>
      </c>
      <c r="C45" s="89">
        <f>SUM(D43:M43)/(-C43)</f>
        <v/>
      </c>
    </row>
    <row r="46" ht="15" customHeight="1" s="262">
      <c r="B46" s="66" t="inlineStr">
        <is>
          <t>Year 1 Cash-on-Cash</t>
        </is>
      </c>
      <c r="C46" s="90">
        <f>C24/C14</f>
        <v/>
      </c>
    </row>
    <row r="47" ht="15" customHeight="1" s="262">
      <c r="B47" s="66" t="inlineStr">
        <is>
          <t>Gross Sale Price</t>
        </is>
      </c>
      <c r="C47" s="71">
        <f>C29</f>
        <v/>
      </c>
    </row>
    <row r="48" ht="15" customHeight="1" s="262">
      <c r="B48" s="63" t="inlineStr">
        <is>
          <t>Avg Cash-on-Cash (incl Refi)</t>
        </is>
      </c>
      <c r="C48" s="90">
        <f>(SUM(C24:L24)+'Operating Model'!C39)/(10*C14)</f>
        <v/>
      </c>
    </row>
    <row r="49" ht="16.5" customHeight="1" s="262">
      <c r="A49" s="1" t="n"/>
      <c r="B49" s="2" t="inlineStr">
        <is>
          <t>NEXT BUYER: MULTIFAMILY DEVELOPMENT PRO FORMA</t>
        </is>
      </c>
      <c r="C49" s="1" t="n"/>
      <c r="D49" s="1" t="n"/>
      <c r="E49" s="1" t="n"/>
      <c r="F49" s="1" t="n"/>
      <c r="G49" s="1" t="n"/>
      <c r="H49" s="1" t="n"/>
      <c r="I49" s="1" t="n"/>
      <c r="J49" s="1" t="n"/>
      <c r="K49" s="1" t="n"/>
      <c r="L49" s="1" t="n"/>
      <c r="M49" s="1" t="n"/>
    </row>
    <row r="51" ht="15" customHeight="1" s="262">
      <c r="B51" s="99" t="inlineStr">
        <is>
          <t>LAND ACQUISITION</t>
        </is>
      </c>
    </row>
    <row r="52" ht="15" customHeight="1" s="262">
      <c r="B52" s="66" t="inlineStr">
        <is>
          <t>Land Area (SF)</t>
        </is>
      </c>
      <c r="C52" s="76" t="n">
        <v>197762</v>
      </c>
    </row>
    <row r="53" ht="15" customHeight="1" s="262">
      <c r="B53" s="66" t="inlineStr">
        <is>
          <t>Acquisition $/SF</t>
        </is>
      </c>
      <c r="C53" s="100">
        <f>C28</f>
        <v/>
      </c>
    </row>
    <row r="54" ht="15" customHeight="1" s="262">
      <c r="B54" s="66" t="inlineStr">
        <is>
          <t>Land + Closing</t>
        </is>
      </c>
      <c r="C54" s="79">
        <f>C52*C53*1.015</f>
        <v/>
      </c>
    </row>
    <row r="56" ht="15" customHeight="1" s="262">
      <c r="B56" s="99" t="inlineStr">
        <is>
          <t>CVS BUYOUT</t>
        </is>
      </c>
    </row>
    <row r="57" ht="15" customHeight="1" s="262">
      <c r="B57" s="66" t="inlineStr">
        <is>
          <t>CVS SF</t>
        </is>
      </c>
      <c r="C57" s="101" t="n">
        <v>12000</v>
      </c>
    </row>
    <row r="58" ht="15" customHeight="1" s="262">
      <c r="B58" s="66" t="inlineStr">
        <is>
          <t>CVS Rent NNN $/SF</t>
        </is>
      </c>
      <c r="C58" s="94" t="n">
        <v>22</v>
      </c>
    </row>
    <row r="59" ht="15" customHeight="1" s="262">
      <c r="B59" s="66" t="inlineStr">
        <is>
          <t>Remaining Term</t>
        </is>
      </c>
      <c r="C59" s="73" t="n">
        <v>10</v>
      </c>
    </row>
    <row r="60" ht="15" customHeight="1" s="262">
      <c r="B60" s="66" t="inlineStr">
        <is>
          <t>Escalations</t>
        </is>
      </c>
      <c r="C60" s="91" t="n">
        <v>0.02</v>
      </c>
    </row>
    <row r="61" ht="15" customHeight="1" s="262">
      <c r="B61" s="66" t="inlineStr">
        <is>
          <t>Discount Rate</t>
        </is>
      </c>
      <c r="C61" s="91" t="n">
        <v>0.08</v>
      </c>
    </row>
    <row r="62" ht="15" customHeight="1" s="262">
      <c r="B62" s="66" t="inlineStr">
        <is>
          <t>PV of Rent</t>
        </is>
      </c>
      <c r="C62" s="71">
        <f>C58*C57*((1-((1+C60)/(1+C61))^C59)/(C61-C60))</f>
        <v/>
      </c>
    </row>
    <row r="63" ht="15" customHeight="1" s="262">
      <c r="B63" s="66" t="inlineStr">
        <is>
          <t>Premium (15%)</t>
        </is>
      </c>
      <c r="C63" s="91" t="n">
        <v>0.15</v>
      </c>
    </row>
    <row r="64" ht="15" customHeight="1" s="262">
      <c r="B64" s="66" t="inlineStr">
        <is>
          <t>Total Buyout</t>
        </is>
      </c>
      <c r="C64" s="74">
        <f>C62*(1+C63)</f>
        <v/>
      </c>
    </row>
    <row r="66" ht="15" customHeight="1" s="262">
      <c r="B66" s="99" t="inlineStr">
        <is>
          <t>DEMO &amp; SITE PREP</t>
        </is>
      </c>
    </row>
    <row r="67" ht="15" customHeight="1" s="262">
      <c r="B67" s="66" t="inlineStr">
        <is>
          <t>Existing Bldg SF</t>
        </is>
      </c>
      <c r="C67" s="76" t="n">
        <v>48196</v>
      </c>
    </row>
    <row r="68" ht="15" customHeight="1" s="262">
      <c r="B68" s="66" t="inlineStr">
        <is>
          <t>Demo $/SF</t>
        </is>
      </c>
      <c r="C68" s="67" t="n">
        <v>12</v>
      </c>
    </row>
    <row r="69" ht="15" customHeight="1" s="262">
      <c r="B69" s="66" t="inlineStr">
        <is>
          <t>Environmental</t>
        </is>
      </c>
      <c r="C69" s="67" t="n">
        <v>150000</v>
      </c>
    </row>
    <row r="70" ht="15" customHeight="1" s="262">
      <c r="B70" s="66" t="inlineStr">
        <is>
          <t>Grading &amp; Utilities</t>
        </is>
      </c>
      <c r="C70" s="67" t="n">
        <v>350000</v>
      </c>
    </row>
    <row r="71" ht="15" customHeight="1" s="262">
      <c r="B71" s="66" t="inlineStr">
        <is>
          <t>Permitting</t>
        </is>
      </c>
      <c r="C71" s="67" t="n">
        <v>250000</v>
      </c>
    </row>
    <row r="72" ht="15" customHeight="1" s="262">
      <c r="B72" s="66" t="inlineStr">
        <is>
          <t>Total Demo</t>
        </is>
      </c>
      <c r="C72" s="74">
        <f>C67*C68+C69+C70+C71</f>
        <v/>
      </c>
    </row>
    <row r="74" ht="15" customHeight="1" s="262">
      <c r="B74" s="99" t="inlineStr">
        <is>
          <t>DEVELOPMENT PROGRAM</t>
        </is>
      </c>
    </row>
    <row r="75" ht="15" customHeight="1" s="262">
      <c r="B75" s="66" t="inlineStr">
        <is>
          <t>FAR</t>
        </is>
      </c>
      <c r="C75" s="102" t="n">
        <v>3</v>
      </c>
    </row>
    <row r="76" ht="15" customHeight="1" s="262">
      <c r="B76" s="66" t="inlineStr">
        <is>
          <t>Developable (%)</t>
        </is>
      </c>
      <c r="C76" s="91" t="n">
        <v>0.7</v>
      </c>
    </row>
    <row r="77" ht="15" customHeight="1" s="262">
      <c r="B77" s="66" t="inlineStr">
        <is>
          <t>Gross Buildable</t>
        </is>
      </c>
      <c r="C77" s="93">
        <f>C52*C76*C75</f>
        <v/>
      </c>
    </row>
    <row r="78" ht="15" customHeight="1" s="262">
      <c r="B78" s="66" t="inlineStr">
        <is>
          <t>Efficiency</t>
        </is>
      </c>
      <c r="C78" s="91" t="n">
        <v>0.85</v>
      </c>
    </row>
    <row r="79" ht="15" customHeight="1" s="262">
      <c r="B79" s="66" t="inlineStr">
        <is>
          <t>Net Rentable</t>
        </is>
      </c>
      <c r="C79" s="93">
        <f>C77*C78</f>
        <v/>
      </c>
    </row>
    <row r="80" ht="15" customHeight="1" s="262">
      <c r="B80" s="66" t="inlineStr">
        <is>
          <t>Retail (% floor)</t>
        </is>
      </c>
      <c r="C80" s="70" t="n">
        <v>0.2</v>
      </c>
    </row>
    <row r="81" ht="15" customHeight="1" s="262">
      <c r="B81" s="66" t="inlineStr">
        <is>
          <t>Retail SF</t>
        </is>
      </c>
      <c r="C81" s="103">
        <f>ROUND(C52*C76*C80,0)</f>
        <v/>
      </c>
    </row>
    <row r="82" ht="15" customHeight="1" s="262">
      <c r="B82" s="66" t="inlineStr">
        <is>
          <t>MF Net Rentable</t>
        </is>
      </c>
      <c r="C82" s="93">
        <f>C79-C81</f>
        <v/>
      </c>
    </row>
    <row r="83" ht="15" customHeight="1" s="262">
      <c r="B83" s="66" t="inlineStr">
        <is>
          <t>Avg Unit SF</t>
        </is>
      </c>
      <c r="C83" s="101" t="n">
        <v>725</v>
      </c>
    </row>
    <row r="84" ht="15" customHeight="1" s="262">
      <c r="B84" s="66" t="inlineStr">
        <is>
          <t>Total MF Units</t>
        </is>
      </c>
      <c r="C84" s="104">
        <f>ROUND(C82/C83,0)</f>
        <v/>
      </c>
    </row>
    <row r="86" ht="15" customHeight="1" s="262">
      <c r="B86" s="99" t="inlineStr">
        <is>
          <t>CONSTRUCTION</t>
        </is>
      </c>
    </row>
    <row r="87" ht="15" customHeight="1" s="262">
      <c r="B87" s="66" t="inlineStr">
        <is>
          <t>Hard Cost $/SF</t>
        </is>
      </c>
      <c r="C87" s="67" t="n">
        <v>220</v>
      </c>
    </row>
    <row r="88" ht="15" customHeight="1" s="262">
      <c r="B88" s="66" t="inlineStr">
        <is>
          <t>Total Hard</t>
        </is>
      </c>
      <c r="C88" s="71">
        <f>C87*C77</f>
        <v/>
      </c>
    </row>
    <row r="89" ht="15" customHeight="1" s="262">
      <c r="B89" s="66" t="inlineStr">
        <is>
          <t>Soft (22% of hard)</t>
        </is>
      </c>
      <c r="C89" s="71">
        <f>C88*0.22</f>
        <v/>
      </c>
    </row>
    <row r="90" ht="15" customHeight="1" s="262">
      <c r="B90" s="66" t="inlineStr">
        <is>
          <t>FF&amp;E ($5K/unit)</t>
        </is>
      </c>
      <c r="C90" s="71">
        <f>C84*5000</f>
        <v/>
      </c>
    </row>
    <row r="91" ht="15" customHeight="1" s="262">
      <c r="B91" s="66" t="inlineStr">
        <is>
          <t>Dev Fee (4%)</t>
        </is>
      </c>
      <c r="C91" s="71">
        <f>(C88+C89)*0.04</f>
        <v/>
      </c>
    </row>
    <row r="92" ht="15" customHeight="1" s="262">
      <c r="B92" s="66" t="inlineStr">
        <is>
          <t>Contingency (5%)</t>
        </is>
      </c>
      <c r="C92" s="71">
        <f>C88*0.05</f>
        <v/>
      </c>
    </row>
    <row r="93" ht="15" customHeight="1" s="262">
      <c r="B93" s="66" t="inlineStr">
        <is>
          <t>Total Construction</t>
        </is>
      </c>
      <c r="C93" s="74">
        <f>C88+C89+C90+C91+C92</f>
        <v/>
      </c>
    </row>
    <row r="95" ht="15" customHeight="1" s="262">
      <c r="B95" s="99" t="inlineStr">
        <is>
          <t>TOTAL DEVELOPMENT COST</t>
        </is>
      </c>
    </row>
    <row r="96" ht="15" customHeight="1" s="262">
      <c r="B96" s="66" t="inlineStr">
        <is>
          <t>Const Loan Rate</t>
        </is>
      </c>
      <c r="C96" s="70" t="n">
        <v>0.07000000000000001</v>
      </c>
    </row>
    <row r="97" ht="15" customHeight="1" s="262">
      <c r="B97" s="66" t="inlineStr">
        <is>
          <t>Avg Draw (yrs)</t>
        </is>
      </c>
      <c r="C97" s="105" t="n">
        <v>1.5</v>
      </c>
    </row>
    <row r="98" ht="15" customHeight="1" s="262">
      <c r="B98" s="66" t="inlineStr">
        <is>
          <t>Carry Costs</t>
        </is>
      </c>
      <c r="C98" s="71">
        <f>(C54+C64+C72+C93)*0.6*C96*C97</f>
        <v/>
      </c>
    </row>
    <row r="99" ht="15.75" customHeight="1" s="262">
      <c r="B99" s="66" t="inlineStr">
        <is>
          <t>TOTAL DEV COST</t>
        </is>
      </c>
      <c r="C99" s="74">
        <f>C54+C64+C72+C93+C98</f>
        <v/>
      </c>
    </row>
    <row r="100" ht="15" customHeight="1" s="262">
      <c r="B100" s="66" t="inlineStr">
        <is>
          <t>Cost / Unit</t>
        </is>
      </c>
      <c r="C100" s="71">
        <f>C99/C84</f>
        <v/>
      </c>
    </row>
    <row r="102" ht="15" customHeight="1" s="262">
      <c r="B102" s="99" t="inlineStr">
        <is>
          <t>FINANCING</t>
        </is>
      </c>
    </row>
    <row r="103" ht="15" customHeight="1" s="262">
      <c r="B103" s="66" t="inlineStr">
        <is>
          <t>LTC</t>
        </is>
      </c>
      <c r="C103" s="70" t="n">
        <v>0.65</v>
      </c>
    </row>
    <row r="104" ht="15" customHeight="1" s="262">
      <c r="B104" s="66" t="inlineStr">
        <is>
          <t>Loan</t>
        </is>
      </c>
      <c r="C104" s="71">
        <f>C99*C103</f>
        <v/>
      </c>
    </row>
    <row r="105" ht="15" customHeight="1" s="262">
      <c r="B105" s="66" t="inlineStr">
        <is>
          <t>Perm Rate</t>
        </is>
      </c>
      <c r="C105" s="70" t="n">
        <v>0.06</v>
      </c>
    </row>
    <row r="106" ht="15" customHeight="1" s="262">
      <c r="B106" s="66" t="inlineStr">
        <is>
          <t>Amortization</t>
        </is>
      </c>
      <c r="C106" s="92" t="n">
        <v>30</v>
      </c>
    </row>
    <row r="107" ht="15" customHeight="1" s="262">
      <c r="B107" s="66" t="inlineStr">
        <is>
          <t>Annual DS</t>
        </is>
      </c>
      <c r="C107" s="71">
        <f>PMT(C105/12,C106*12,-C104)*12</f>
        <v/>
      </c>
    </row>
    <row r="108" ht="15" customHeight="1" s="262">
      <c r="B108" s="66" t="inlineStr">
        <is>
          <t>Equity Required</t>
        </is>
      </c>
      <c r="C108" s="74">
        <f>C99-C104</f>
        <v/>
      </c>
    </row>
    <row r="110" ht="15" customHeight="1" s="262">
      <c r="B110" s="77" t="inlineStr">
        <is>
          <t>STABILIZED REVENUE</t>
        </is>
      </c>
    </row>
    <row r="111" ht="15" customHeight="1" s="262">
      <c r="B111" s="66" t="inlineStr">
        <is>
          <t>MF Rent $/SF/Mo</t>
        </is>
      </c>
      <c r="C111" s="94" t="n">
        <v>4.9</v>
      </c>
    </row>
    <row r="112" ht="15" customHeight="1" s="262">
      <c r="B112" s="66" t="inlineStr">
        <is>
          <t>Rent / Unit / Mo</t>
        </is>
      </c>
      <c r="C112" s="71">
        <f>C111*C83</f>
        <v/>
      </c>
    </row>
    <row r="113" ht="15" customHeight="1" s="262">
      <c r="B113" s="66" t="inlineStr">
        <is>
          <t>MF GPR</t>
        </is>
      </c>
      <c r="C113" s="71">
        <f>C112*C84*12</f>
        <v/>
      </c>
    </row>
    <row r="114" ht="15" customHeight="1" s="262">
      <c r="B114" s="66" t="inlineStr">
        <is>
          <t>Vacancy</t>
        </is>
      </c>
      <c r="C114" s="91" t="n">
        <v>0.05</v>
      </c>
    </row>
    <row r="115" ht="15" customHeight="1" s="262">
      <c r="B115" s="66" t="inlineStr">
        <is>
          <t>Loss to Lease</t>
        </is>
      </c>
      <c r="C115" s="91" t="n">
        <v>0.02</v>
      </c>
    </row>
    <row r="116" ht="15" customHeight="1" s="262">
      <c r="B116" s="66" t="inlineStr">
        <is>
          <t>Other Inc ($/unit)</t>
        </is>
      </c>
      <c r="C116" s="67" t="n">
        <v>2200</v>
      </c>
    </row>
    <row r="117" ht="15" customHeight="1" s="262">
      <c r="B117" s="66" t="inlineStr">
        <is>
          <t>MF EGI</t>
        </is>
      </c>
      <c r="C117" s="79">
        <f>C113*(1-C114-C115)+C116*C84</f>
        <v/>
      </c>
    </row>
    <row r="118" ht="15" customHeight="1" s="262">
      <c r="B118" s="66" t="inlineStr">
        <is>
          <t>Retail NNN $/SF</t>
        </is>
      </c>
      <c r="C118" s="67" t="n">
        <v>45</v>
      </c>
    </row>
    <row r="119" ht="15" customHeight="1" s="262">
      <c r="B119" s="66" t="inlineStr">
        <is>
          <t>Retail Vacancy</t>
        </is>
      </c>
      <c r="C119" s="91" t="n">
        <v>0.05</v>
      </c>
    </row>
    <row r="120" ht="15" customHeight="1" s="262">
      <c r="B120" s="66" t="inlineStr">
        <is>
          <t>Retail EGI</t>
        </is>
      </c>
      <c r="C120" s="79">
        <f>C118*C81*(1-C119)</f>
        <v/>
      </c>
    </row>
    <row r="121" ht="15" customHeight="1" s="262">
      <c r="B121" s="66" t="inlineStr">
        <is>
          <t>Total EGI</t>
        </is>
      </c>
      <c r="C121" s="69">
        <f>C117+C120</f>
        <v/>
      </c>
    </row>
    <row r="123" ht="15" customHeight="1" s="262">
      <c r="B123" s="77" t="inlineStr">
        <is>
          <t>OPERATING EXPENSES</t>
        </is>
      </c>
    </row>
    <row r="124" ht="15" customHeight="1" s="262">
      <c r="B124" s="66" t="inlineStr">
        <is>
          <t>Mgmt (3.5%)</t>
        </is>
      </c>
      <c r="C124" s="71">
        <f>C121*0.035</f>
        <v/>
      </c>
    </row>
    <row r="125" ht="15" customHeight="1" s="262">
      <c r="B125" s="66" t="inlineStr">
        <is>
          <t>Tax Abatement</t>
        </is>
      </c>
      <c r="C125" s="70" t="n">
        <v>0</v>
      </c>
    </row>
    <row r="126" ht="15" customHeight="1" s="262">
      <c r="B126" s="66" t="inlineStr">
        <is>
          <t>Property Taxes</t>
        </is>
      </c>
      <c r="C126" s="71">
        <f>C99*0.022*(1-C125)</f>
        <v/>
      </c>
    </row>
    <row r="127" ht="15" customHeight="1" s="262">
      <c r="B127" s="66" t="inlineStr">
        <is>
          <t>Insurance</t>
        </is>
      </c>
      <c r="C127" s="71">
        <f>C84*1800+C81*3</f>
        <v/>
      </c>
    </row>
    <row r="128" ht="15" customHeight="1" s="262">
      <c r="B128" s="66" t="inlineStr">
        <is>
          <t>R&amp;M</t>
        </is>
      </c>
      <c r="C128" s="71">
        <f>C84*1200+C81*2</f>
        <v/>
      </c>
    </row>
    <row r="129" ht="15" customHeight="1" s="262">
      <c r="B129" s="66" t="inlineStr">
        <is>
          <t>G&amp;A</t>
        </is>
      </c>
      <c r="C129" s="71">
        <f>C84*600</f>
        <v/>
      </c>
    </row>
    <row r="130" ht="15" customHeight="1" s="262">
      <c r="B130" s="66" t="inlineStr">
        <is>
          <t>Marketing</t>
        </is>
      </c>
      <c r="C130" s="71">
        <f>C84*500</f>
        <v/>
      </c>
    </row>
    <row r="131" ht="15" customHeight="1" s="262">
      <c r="B131" s="66" t="inlineStr">
        <is>
          <t>Reserves</t>
        </is>
      </c>
      <c r="C131" s="71">
        <f>C84*300+C81*1</f>
        <v/>
      </c>
    </row>
    <row r="132" ht="15" customHeight="1" s="262">
      <c r="B132" s="66" t="inlineStr">
        <is>
          <t>Total OpEx</t>
        </is>
      </c>
      <c r="C132" s="69">
        <f>SUM(C124,C126:C131)</f>
        <v/>
      </c>
    </row>
    <row r="134" ht="15.75" customHeight="1" s="262">
      <c r="B134" s="63" t="inlineStr">
        <is>
          <t>NET OPERATING INCOME</t>
        </is>
      </c>
      <c r="C134" s="74">
        <f>C121-C132</f>
        <v/>
      </c>
    </row>
    <row r="135" ht="15" customHeight="1" s="262">
      <c r="B135" s="66" t="inlineStr">
        <is>
          <t>Dev Yield</t>
        </is>
      </c>
      <c r="C135" s="106">
        <f>C134/C99</f>
        <v/>
      </c>
    </row>
    <row r="137" ht="15" customHeight="1" s="262">
      <c r="B137" s="99" t="inlineStr">
        <is>
          <t>BUYER DEVELOPMENT TIMELINE</t>
        </is>
      </c>
      <c r="C137" s="78" t="inlineStr">
        <is>
          <t>Year 0</t>
        </is>
      </c>
      <c r="D137" s="78" t="inlineStr">
        <is>
          <t>Year 1</t>
        </is>
      </c>
      <c r="E137" s="78" t="inlineStr">
        <is>
          <t>Year 2</t>
        </is>
      </c>
      <c r="F137" s="78" t="inlineStr">
        <is>
          <t>Year 3</t>
        </is>
      </c>
      <c r="G137" s="78" t="inlineStr">
        <is>
          <t>Year 4</t>
        </is>
      </c>
      <c r="H137" s="78" t="inlineStr">
        <is>
          <t>Year 5</t>
        </is>
      </c>
      <c r="I137" s="78" t="inlineStr">
        <is>
          <t>Year 6</t>
        </is>
      </c>
      <c r="J137" s="78" t="inlineStr">
        <is>
          <t>Year 7</t>
        </is>
      </c>
    </row>
    <row r="138" ht="15" customHeight="1" s="262">
      <c r="C138" s="107" t="inlineStr">
        <is>
          <t>Predev</t>
        </is>
      </c>
      <c r="D138" s="107" t="inlineStr">
        <is>
          <t>Construction</t>
        </is>
      </c>
      <c r="E138" s="107" t="inlineStr">
        <is>
          <t>Const+Leaseup</t>
        </is>
      </c>
      <c r="F138" s="107" t="inlineStr">
        <is>
          <t>Stab 1</t>
        </is>
      </c>
      <c r="G138" s="107" t="inlineStr">
        <is>
          <t>Stab 2</t>
        </is>
      </c>
      <c r="H138" s="107" t="inlineStr">
        <is>
          <t>Stab 3</t>
        </is>
      </c>
      <c r="I138" s="107" t="inlineStr">
        <is>
          <t>Stab 4</t>
        </is>
      </c>
      <c r="J138" s="107" t="inlineStr">
        <is>
          <t>Stab 5 + EXIT</t>
        </is>
      </c>
    </row>
    <row r="139" ht="15" customHeight="1" s="262">
      <c r="B139" s="66" t="inlineStr">
        <is>
          <t>NOI Growth</t>
        </is>
      </c>
      <c r="C139" s="70" t="n">
        <v>0.03</v>
      </c>
    </row>
    <row r="140" ht="15" customHeight="1" s="262">
      <c r="B140" s="66" t="inlineStr">
        <is>
          <t>Exit Cap</t>
        </is>
      </c>
      <c r="C140" s="70" t="n">
        <v>0.05</v>
      </c>
    </row>
    <row r="142" ht="15" customHeight="1" s="262">
      <c r="B142" s="66" t="inlineStr">
        <is>
          <t>Equity: Predev</t>
        </is>
      </c>
      <c r="C142" s="71">
        <f>-(C54+C64+C72)*(1-C103)</f>
        <v/>
      </c>
      <c r="D142" s="71" t="n">
        <v>0</v>
      </c>
      <c r="E142" s="71" t="n">
        <v>0</v>
      </c>
      <c r="F142" s="71" t="n">
        <v>0</v>
      </c>
      <c r="G142" s="71" t="n">
        <v>0</v>
      </c>
      <c r="H142" s="71" t="n">
        <v>0</v>
      </c>
      <c r="I142" s="71" t="n">
        <v>0</v>
      </c>
      <c r="J142" s="71" t="n">
        <v>0</v>
      </c>
    </row>
    <row r="143" ht="15" customHeight="1" s="262">
      <c r="B143" s="66" t="inlineStr">
        <is>
          <t>Equity: Construction</t>
        </is>
      </c>
      <c r="C143" s="71" t="n">
        <v>0</v>
      </c>
      <c r="D143" s="71">
        <f>-(C93*0.6)*(1-C103)</f>
        <v/>
      </c>
      <c r="E143" s="71">
        <f>-(C93*0.4+C98)*(1-C103)</f>
        <v/>
      </c>
      <c r="F143" s="71" t="n">
        <v>0</v>
      </c>
      <c r="G143" s="71" t="n">
        <v>0</v>
      </c>
      <c r="H143" s="71" t="n">
        <v>0</v>
      </c>
      <c r="I143" s="71" t="n">
        <v>0</v>
      </c>
      <c r="J143" s="71" t="n">
        <v>0</v>
      </c>
    </row>
    <row r="144" ht="15" customHeight="1" s="262">
      <c r="B144" s="66" t="inlineStr">
        <is>
          <t>NOI</t>
        </is>
      </c>
      <c r="C144" s="71" t="n">
        <v>0</v>
      </c>
      <c r="D144" s="71" t="n">
        <v>0</v>
      </c>
      <c r="E144" s="71">
        <f>C134*0.4</f>
        <v/>
      </c>
      <c r="F144" s="71">
        <f>C134</f>
        <v/>
      </c>
      <c r="G144" s="71">
        <f>F144*(1+$C$139)</f>
        <v/>
      </c>
      <c r="H144" s="71">
        <f>G144*(1+$C$139)</f>
        <v/>
      </c>
      <c r="I144" s="71">
        <f>H144*(1+$C$139)</f>
        <v/>
      </c>
      <c r="J144" s="71">
        <f>I144*(1+$C$139)</f>
        <v/>
      </c>
    </row>
    <row r="145" ht="15" customHeight="1" s="262">
      <c r="B145" s="66" t="inlineStr">
        <is>
          <t>Debt Service</t>
        </is>
      </c>
      <c r="C145" s="71" t="n">
        <v>0</v>
      </c>
      <c r="D145" s="71" t="n">
        <v>0</v>
      </c>
      <c r="E145" s="71">
        <f>C107*0.5</f>
        <v/>
      </c>
      <c r="F145" s="71">
        <f>C107</f>
        <v/>
      </c>
      <c r="G145" s="71">
        <f>C107</f>
        <v/>
      </c>
      <c r="H145" s="71">
        <f>C107</f>
        <v/>
      </c>
      <c r="I145" s="71">
        <f>C107</f>
        <v/>
      </c>
      <c r="J145" s="71">
        <f>C107</f>
        <v/>
      </c>
    </row>
    <row r="146" ht="15" customHeight="1" s="262">
      <c r="B146" s="66" t="inlineStr">
        <is>
          <t>Exit Proceeds</t>
        </is>
      </c>
      <c r="C146" s="71" t="n">
        <v>0</v>
      </c>
      <c r="D146" s="71" t="n">
        <v>0</v>
      </c>
      <c r="E146" s="71" t="n">
        <v>0</v>
      </c>
      <c r="F146" s="71" t="n">
        <v>0</v>
      </c>
      <c r="G146" s="71" t="n">
        <v>0</v>
      </c>
      <c r="H146" s="71" t="n">
        <v>0</v>
      </c>
      <c r="I146" s="71" t="n">
        <v>0</v>
      </c>
      <c r="J146" s="71">
        <f>J144*(1+C139)/C140*0.98-FV(C105/12,60,PMT(C105/12,C106*12,-C104),-C104)</f>
        <v/>
      </c>
    </row>
    <row r="148" ht="15" customHeight="1" s="262">
      <c r="B148" s="63" t="inlineStr">
        <is>
          <t>BUYER TOTAL CASH FLOW</t>
        </is>
      </c>
      <c r="C148" s="74">
        <f>C142+C143+C144-C145+C146</f>
        <v/>
      </c>
      <c r="D148" s="74">
        <f>D142+D143+D144-D145+D146</f>
        <v/>
      </c>
      <c r="E148" s="74">
        <f>E142+E143+E144-E145+E146</f>
        <v/>
      </c>
      <c r="F148" s="74">
        <f>F142+F143+F144-F145+F146</f>
        <v/>
      </c>
      <c r="G148" s="74">
        <f>G142+G143+G144-G145+G146</f>
        <v/>
      </c>
      <c r="H148" s="74">
        <f>H142+H143+H144-H145+H146</f>
        <v/>
      </c>
      <c r="I148" s="74">
        <f>I142+I143+I144-I145+I146</f>
        <v/>
      </c>
      <c r="J148" s="74">
        <f>J142+J143+J144-J145+J146</f>
        <v/>
      </c>
    </row>
    <row r="150" ht="18" customHeight="1" s="262">
      <c r="B150" s="63" t="inlineStr">
        <is>
          <t>BUYER LEVERAGED IRR</t>
        </is>
      </c>
      <c r="C150" s="108">
        <f>IRR(C148:J148,0.2)</f>
        <v/>
      </c>
    </row>
    <row r="151" ht="15" customHeight="1" s="262">
      <c r="B151" s="66" t="inlineStr">
        <is>
          <t>Buyer Equity Multiple</t>
        </is>
      </c>
      <c r="C151" s="89">
        <f>SUMPRODUCT((C148:J148&gt;0)*C148:J148)/-SUMPRODUCT((C148:J148&lt;0)*C148:J148)</f>
        <v/>
      </c>
    </row>
    <row r="153" ht="15" customHeight="1" s="262">
      <c r="B153" s="65" t="inlineStr">
        <is>
          <t>BUYER KEY METRICS</t>
        </is>
      </c>
    </row>
    <row r="154" ht="15" customHeight="1" s="262">
      <c r="B154" s="66" t="inlineStr">
        <is>
          <t>Stabilized Value</t>
        </is>
      </c>
      <c r="C154" s="71">
        <f>C134/C140</f>
        <v/>
      </c>
    </row>
    <row r="155" ht="15" customHeight="1" s="262">
      <c r="B155" s="66" t="inlineStr">
        <is>
          <t>Total Profit</t>
        </is>
      </c>
      <c r="C155" s="109">
        <f>C154-C99</f>
        <v/>
      </c>
    </row>
    <row r="156" ht="15" customHeight="1" s="262">
      <c r="B156" s="66" t="inlineStr">
        <is>
          <t>Profit Margin</t>
        </is>
      </c>
      <c r="C156" s="90">
        <f>C155/C99</f>
        <v/>
      </c>
    </row>
    <row r="157" ht="15" customHeight="1" s="262">
      <c r="B157" s="66" t="inlineStr">
        <is>
          <t>Value / Unit</t>
        </is>
      </c>
      <c r="C157" s="71">
        <f>C154/C84</f>
        <v/>
      </c>
    </row>
    <row r="159" ht="15" customHeight="1" s="262">
      <c r="B159" s="63" t="inlineStr">
        <is>
          <t>YEAR 5 REFINANCE</t>
        </is>
      </c>
    </row>
    <row r="160" ht="15" customHeight="1" s="262">
      <c r="B160" s="66" t="inlineStr">
        <is>
          <t>Refi Cap Rate</t>
        </is>
      </c>
      <c r="C160" s="68" t="n">
        <v>0.055</v>
      </c>
    </row>
    <row r="161" ht="15" customHeight="1" s="262">
      <c r="B161" s="66" t="inlineStr">
        <is>
          <t>Refi LTV</t>
        </is>
      </c>
      <c r="C161" s="91" t="n">
        <v>0.6</v>
      </c>
    </row>
    <row r="162" ht="15" customHeight="1" s="262">
      <c r="B162" s="66" t="inlineStr">
        <is>
          <t>Refi Rate</t>
        </is>
      </c>
      <c r="C162" s="68" t="n">
        <v>0.05</v>
      </c>
    </row>
    <row r="163" ht="15" customHeight="1" s="262">
      <c r="B163" s="66" t="inlineStr">
        <is>
          <t>Refi IO Period (yrs)</t>
        </is>
      </c>
      <c r="C163" s="92" t="n">
        <v>2</v>
      </c>
    </row>
    <row r="164" ht="15" customHeight="1" s="262">
      <c r="B164" s="66" t="inlineStr">
        <is>
          <t>Refi Amortization</t>
        </is>
      </c>
      <c r="C164" s="92" t="n">
        <v>30</v>
      </c>
    </row>
    <row r="165" ht="15" customHeight="1" s="262">
      <c r="B165" s="66" t="inlineStr">
        <is>
          <t>Refi Cost %</t>
        </is>
      </c>
      <c r="C165" s="110" t="n">
        <v>5e-05</v>
      </c>
    </row>
    <row r="167" ht="15" customHeight="1" s="262">
      <c r="B167" s="66" t="inlineStr">
        <is>
          <t>Appraised Value (Yr5)</t>
        </is>
      </c>
      <c r="C167" s="71">
        <f>G21/C160</f>
        <v/>
      </c>
    </row>
    <row r="168" ht="15" customHeight="1" s="262">
      <c r="B168" s="66" t="inlineStr">
        <is>
          <t>New Loan Amount</t>
        </is>
      </c>
      <c r="C168" s="71">
        <f>C167*C161</f>
        <v/>
      </c>
    </row>
    <row r="169" ht="15" customHeight="1" s="262">
      <c r="B169" s="66" t="inlineStr">
        <is>
          <t>Old Loan Bal (Yr5)</t>
        </is>
      </c>
      <c r="C169" s="71">
        <f>FV(C11/12,(5-C12)*12,PMT(C11/12,C13*12,-C10),-C10)</f>
        <v/>
      </c>
    </row>
    <row r="170" ht="15" customHeight="1" s="262">
      <c r="B170" s="66" t="inlineStr">
        <is>
          <t>Refi Closing Costs</t>
        </is>
      </c>
      <c r="C170" s="71">
        <f>C168*C165</f>
        <v/>
      </c>
    </row>
    <row r="171" ht="15" customHeight="1" s="262">
      <c r="B171" s="66" t="inlineStr">
        <is>
          <t>Net Cash-Out</t>
        </is>
      </c>
      <c r="C171" s="71">
        <f>C168-C169-C170</f>
        <v/>
      </c>
    </row>
    <row r="172" ht="15" customHeight="1" s="262">
      <c r="B172" s="66" t="inlineStr">
        <is>
          <t>Refi IO Payment</t>
        </is>
      </c>
      <c r="C172" s="71">
        <f>C168*C162</f>
        <v/>
      </c>
    </row>
    <row r="173" ht="15" customHeight="1" s="262">
      <c r="B173" s="66" t="inlineStr">
        <is>
          <t>Refi Amort Payment</t>
        </is>
      </c>
      <c r="C173" s="71">
        <f>PMT(C162/12,C164*12,-C168)*12</f>
        <v/>
      </c>
    </row>
    <row r="174" ht="15" customHeight="1" s="262">
      <c r="B174" s="66" t="inlineStr">
        <is>
          <t>Exit Loan Bal (Yr10)</t>
        </is>
      </c>
      <c r="C174" s="71">
        <f>FV(C162/12,(5-C163)*12,PMT(C162/12,C164*12,-C168),-C168)</f>
        <v/>
      </c>
    </row>
    <row r="176" ht="15" customHeight="1" s="262">
      <c r="B176" s="63" t="inlineStr">
        <is>
          <t>CAPEX RESERVE</t>
        </is>
      </c>
    </row>
    <row r="177" ht="15" customHeight="1" s="262">
      <c r="B177" s="66" t="inlineStr">
        <is>
          <t>Building SF</t>
        </is>
      </c>
      <c r="C177" s="93" t="n">
        <v>48196</v>
      </c>
    </row>
    <row r="178" ht="15" customHeight="1" s="262">
      <c r="B178" s="66" t="inlineStr">
        <is>
          <t>CapEx Reserve $/SF</t>
        </is>
      </c>
      <c r="C178" s="94" t="n">
        <v>0.75</v>
      </c>
    </row>
    <row r="179" ht="15" customHeight="1" s="262">
      <c r="B179" s="66" t="inlineStr">
        <is>
          <t>Annual CapEx Reserve</t>
        </is>
      </c>
      <c r="C179" s="71">
        <f>C177*C178</f>
        <v/>
      </c>
    </row>
    <row r="181" ht="15" customHeight="1" s="262">
      <c r="B181" s="63" t="inlineStr">
        <is>
          <t>RETURN OF CAPITAL &amp; CASH-ON-CASH</t>
        </is>
      </c>
    </row>
    <row r="182" ht="15" customHeight="1" s="262">
      <c r="C182" s="95" t="inlineStr">
        <is>
          <t>Year 1</t>
        </is>
      </c>
      <c r="D182" s="95" t="inlineStr">
        <is>
          <t>Year 2</t>
        </is>
      </c>
      <c r="E182" s="95" t="inlineStr">
        <is>
          <t>Year 3</t>
        </is>
      </c>
      <c r="F182" s="95" t="inlineStr">
        <is>
          <t>Year 4</t>
        </is>
      </c>
      <c r="G182" s="95" t="inlineStr">
        <is>
          <t>Year 5</t>
        </is>
      </c>
      <c r="H182" s="95" t="inlineStr">
        <is>
          <t>Year 6</t>
        </is>
      </c>
      <c r="I182" s="95" t="inlineStr">
        <is>
          <t>Year 7</t>
        </is>
      </c>
      <c r="J182" s="95" t="inlineStr">
        <is>
          <t>Year 8</t>
        </is>
      </c>
      <c r="K182" s="95" t="inlineStr">
        <is>
          <t>Year 9</t>
        </is>
      </c>
      <c r="L182" s="95" t="inlineStr">
        <is>
          <t>Year 10</t>
        </is>
      </c>
    </row>
    <row r="183" ht="15" customHeight="1" s="262">
      <c r="B183" s="66" t="inlineStr">
        <is>
          <t>Annual Distribution (incl Refi)</t>
        </is>
      </c>
      <c r="C183" s="71">
        <f>C24</f>
        <v/>
      </c>
      <c r="D183" s="71">
        <f>D24</f>
        <v/>
      </c>
      <c r="E183" s="71">
        <f>E24</f>
        <v/>
      </c>
      <c r="F183" s="71">
        <f>F24</f>
        <v/>
      </c>
      <c r="G183" s="58">
        <f>G24+'Operating Model'!C39</f>
        <v/>
      </c>
      <c r="H183" s="71">
        <f>H24</f>
        <v/>
      </c>
      <c r="I183" s="71">
        <f>I24</f>
        <v/>
      </c>
      <c r="J183" s="71">
        <f>J24</f>
        <v/>
      </c>
      <c r="K183" s="71">
        <f>K24</f>
        <v/>
      </c>
      <c r="L183" s="71">
        <f>L24</f>
        <v/>
      </c>
    </row>
    <row r="184" ht="15" customHeight="1" s="262">
      <c r="B184" s="66" t="inlineStr">
        <is>
          <t>Cash-on-Cash (%)</t>
        </is>
      </c>
      <c r="C184" s="90">
        <f>C183/$C$14</f>
        <v/>
      </c>
      <c r="D184" s="90">
        <f>D183/$C$14</f>
        <v/>
      </c>
      <c r="E184" s="90">
        <f>E183/$C$14</f>
        <v/>
      </c>
      <c r="F184" s="90">
        <f>F183/$C$14</f>
        <v/>
      </c>
      <c r="G184" s="90">
        <f>G183/$C$14</f>
        <v/>
      </c>
      <c r="H184" s="90">
        <f>H183/$C$14</f>
        <v/>
      </c>
      <c r="I184" s="90">
        <f>I183/$C$14</f>
        <v/>
      </c>
      <c r="J184" s="90">
        <f>J183/$C$14</f>
        <v/>
      </c>
      <c r="K184" s="90">
        <f>K183/$C$14</f>
        <v/>
      </c>
      <c r="L184" s="90">
        <f>L183/$C$14</f>
        <v/>
      </c>
    </row>
    <row r="185" ht="15" customHeight="1" s="262">
      <c r="B185" s="66" t="inlineStr">
        <is>
          <t>Cumulative Distribution</t>
        </is>
      </c>
      <c r="C185" s="71">
        <f>C183</f>
        <v/>
      </c>
      <c r="D185" s="71">
        <f>C185+D183</f>
        <v/>
      </c>
      <c r="E185" s="71">
        <f>D185+E183</f>
        <v/>
      </c>
      <c r="F185" s="71">
        <f>E185+F183</f>
        <v/>
      </c>
      <c r="G185" s="71">
        <f>F185+G183</f>
        <v/>
      </c>
      <c r="H185" s="71">
        <f>G185+H183</f>
        <v/>
      </c>
      <c r="I185" s="71">
        <f>H185+I183</f>
        <v/>
      </c>
      <c r="J185" s="71">
        <f>I185+J183</f>
        <v/>
      </c>
      <c r="K185" s="71">
        <f>J185+K183</f>
        <v/>
      </c>
      <c r="L185" s="71">
        <f>K185+L183</f>
        <v/>
      </c>
    </row>
    <row r="186" ht="15" customHeight="1" s="262">
      <c r="B186" s="66" t="inlineStr">
        <is>
          <t>Capital Returned (%)</t>
        </is>
      </c>
      <c r="C186" s="90">
        <f>MIN(C185,$C$14)/$C$14</f>
        <v/>
      </c>
      <c r="D186" s="90">
        <f>MIN(D185,$C$14)/$C$14</f>
        <v/>
      </c>
      <c r="E186" s="90">
        <f>MIN(E185,$C$14)/$C$14</f>
        <v/>
      </c>
      <c r="F186" s="90">
        <f>MIN(F185,$C$14)/$C$14</f>
        <v/>
      </c>
      <c r="G186" s="90">
        <f>MIN(G185,$C$14)/$C$14</f>
        <v/>
      </c>
      <c r="H186" s="90">
        <f>MIN(H185,$C$14)/$C$14</f>
        <v/>
      </c>
      <c r="I186" s="90">
        <f>MIN(I185,$C$14)/$C$14</f>
        <v/>
      </c>
      <c r="J186" s="90">
        <f>MIN(J185,$C$14)/$C$14</f>
        <v/>
      </c>
      <c r="K186" s="90">
        <f>MIN(K185,$C$14)/$C$14</f>
        <v/>
      </c>
      <c r="L186" s="90">
        <f>MIN(L185,$C$14)/$C$14</f>
        <v/>
      </c>
    </row>
    <row r="187" ht="15" customHeight="1" s="262">
      <c r="B187" s="66" t="inlineStr">
        <is>
          <t>Capital Outstanding ($)</t>
        </is>
      </c>
      <c r="C187" s="71">
        <f>MAX($C$14-C185,0)</f>
        <v/>
      </c>
      <c r="D187" s="71">
        <f>MAX($C$14-D185,0)</f>
        <v/>
      </c>
      <c r="E187" s="71">
        <f>MAX($C$14-E185,0)</f>
        <v/>
      </c>
      <c r="F187" s="71">
        <f>MAX($C$14-F185,0)</f>
        <v/>
      </c>
      <c r="G187" s="71">
        <f>MAX($C$14-G185,0)</f>
        <v/>
      </c>
      <c r="H187" s="71">
        <f>MAX($C$14-H185,0)</f>
        <v/>
      </c>
      <c r="I187" s="71">
        <f>MAX($C$14-I185,0)</f>
        <v/>
      </c>
      <c r="J187" s="71">
        <f>MAX($C$14-J185,0)</f>
        <v/>
      </c>
      <c r="K187" s="71">
        <f>MAX($C$14-K185,0)</f>
        <v/>
      </c>
      <c r="L187" s="71">
        <f>MAX($C$14-L185,0)</f>
        <v/>
      </c>
    </row>
  </sheetData>
  <pageMargins left="0.75" right="0.75" top="1" bottom="1" header="0.511811023622047" footer="0.511811023622047"/>
  <pageSetup orientation="portrait" paperSize="9" horizontalDpi="300" verticalDpi="300"/>
  <legacyDrawing xmlns:r="http://schemas.openxmlformats.org/officeDocument/2006/relationships" r:id="anysvml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B2:H132"/>
  <sheetViews>
    <sheetView workbookViewId="0">
      <selection activeCell="A1" sqref="A1"/>
    </sheetView>
  </sheetViews>
  <sheetFormatPr baseColWidth="10" defaultColWidth="8.83203125" defaultRowHeight="15"/>
  <cols>
    <col width="3" customWidth="1" style="262" min="1" max="1"/>
    <col width="36" customWidth="1" style="262" min="2" max="2"/>
    <col width="17" customWidth="1" style="262" min="3" max="8"/>
  </cols>
  <sheetData>
    <row r="2" ht="19" customHeight="1" s="262">
      <c r="B2" s="169" t="inlineStr">
        <is>
          <t>5-YEAR EXIT SCENARIOS</t>
        </is>
      </c>
    </row>
    <row r="3">
      <c r="B3" s="170" t="inlineStr">
        <is>
          <t>5-Year Hold, 2-Yr IO  |  Scenario 2A: $246/SF Land Sale (20% IRR / 2.5x EM target)  |  Scenario 2B: 5.0% Cap Stabilized Sale</t>
        </is>
      </c>
    </row>
    <row r="5">
      <c r="B5" s="171" t="inlineStr">
        <is>
          <t>ACQUISITION &amp; FINANCING</t>
        </is>
      </c>
    </row>
    <row r="6">
      <c r="B6" s="172" t="inlineStr">
        <is>
          <t>Purchase Price</t>
        </is>
      </c>
      <c r="C6" s="173">
        <f>'Operating Model'!C6</f>
        <v/>
      </c>
    </row>
    <row r="7">
      <c r="B7" s="172" t="inlineStr">
        <is>
          <t>Acq Fee + Closing</t>
        </is>
      </c>
      <c r="C7" s="174">
        <f>'Operating Model'!C7</f>
        <v/>
      </c>
    </row>
    <row r="8">
      <c r="B8" s="172" t="inlineStr">
        <is>
          <t>Total Basis</t>
        </is>
      </c>
      <c r="C8" s="173">
        <f>C6*(1+C7)</f>
        <v/>
      </c>
    </row>
    <row r="9">
      <c r="B9" s="172" t="inlineStr">
        <is>
          <t>LTV</t>
        </is>
      </c>
      <c r="C9" s="174">
        <f>'Operating Model'!C9</f>
        <v/>
      </c>
    </row>
    <row r="10">
      <c r="B10" s="172" t="inlineStr">
        <is>
          <t>Loan Amount</t>
        </is>
      </c>
      <c r="C10" s="173">
        <f>C8*C9</f>
        <v/>
      </c>
    </row>
    <row r="11">
      <c r="B11" s="172" t="inlineStr">
        <is>
          <t>Interest Rate</t>
        </is>
      </c>
      <c r="C11" s="175">
        <f>'Operating Model'!C11</f>
        <v/>
      </c>
    </row>
    <row r="12">
      <c r="B12" s="172" t="inlineStr">
        <is>
          <t>IO Period (yrs)</t>
        </is>
      </c>
      <c r="C12" s="176">
        <f>'Operating Model'!C12</f>
        <v/>
      </c>
    </row>
    <row r="13">
      <c r="B13" s="172" t="inlineStr">
        <is>
          <t>Amortization</t>
        </is>
      </c>
      <c r="C13" s="176">
        <f>'Operating Model'!C13</f>
        <v/>
      </c>
    </row>
    <row r="14">
      <c r="B14" s="172" t="inlineStr">
        <is>
          <t>Equity Required</t>
        </is>
      </c>
      <c r="C14" s="173">
        <f>C8-C10</f>
        <v/>
      </c>
    </row>
    <row r="15">
      <c r="B15" s="172" t="inlineStr">
        <is>
          <t>Going-in Cap Rate</t>
        </is>
      </c>
      <c r="C15" s="174">
        <f>C21/C6</f>
        <v/>
      </c>
    </row>
    <row r="16">
      <c r="B16" s="172" t="inlineStr">
        <is>
          <t>IO Annual Payment</t>
        </is>
      </c>
      <c r="C16" s="173">
        <f>C10*C11</f>
        <v/>
      </c>
    </row>
    <row r="17">
      <c r="B17" s="172" t="inlineStr">
        <is>
          <t>Amort Annual Payment</t>
        </is>
      </c>
      <c r="C17" s="173">
        <f>PMT(C11/12,C13*12,-C10)*12</f>
        <v/>
      </c>
    </row>
    <row r="18">
      <c r="B18" s="172" t="inlineStr">
        <is>
          <t>Land Area (SF)</t>
        </is>
      </c>
      <c r="C18" s="177">
        <f>'Operating Model'!C18</f>
        <v/>
      </c>
    </row>
    <row r="20">
      <c r="B20" s="178" t="inlineStr">
        <is>
          <t>5-YEAR CASH FLOW</t>
        </is>
      </c>
      <c r="C20" s="179" t="inlineStr">
        <is>
          <t>Year 1</t>
        </is>
      </c>
      <c r="D20" s="179" t="inlineStr">
        <is>
          <t>Year 2</t>
        </is>
      </c>
      <c r="E20" s="179" t="inlineStr">
        <is>
          <t>Year 3</t>
        </is>
      </c>
      <c r="F20" s="179" t="inlineStr">
        <is>
          <t>Year 4</t>
        </is>
      </c>
      <c r="G20" s="179" t="inlineStr">
        <is>
          <t>Year 5</t>
        </is>
      </c>
    </row>
    <row r="21">
      <c r="B21" s="172" t="inlineStr">
        <is>
          <t>Net Operating Income</t>
        </is>
      </c>
      <c r="C21" s="173">
        <f>'Operating Model'!C21</f>
        <v/>
      </c>
      <c r="D21" s="173">
        <f>'Operating Model'!D21</f>
        <v/>
      </c>
      <c r="E21" s="173">
        <f>'Operating Model'!E21</f>
        <v/>
      </c>
      <c r="F21" s="173">
        <f>'Operating Model'!F21</f>
        <v/>
      </c>
      <c r="G21" s="173">
        <f>'Operating Model'!G21</f>
        <v/>
      </c>
    </row>
    <row r="22">
      <c r="B22" s="172" t="inlineStr">
        <is>
          <t>Less: CapEx Reserve</t>
        </is>
      </c>
      <c r="C22" s="173">
        <f>'Operating Model'!$C$47</f>
        <v/>
      </c>
      <c r="D22" s="173">
        <f>'Operating Model'!$C$47</f>
        <v/>
      </c>
      <c r="E22" s="173">
        <f>'Operating Model'!$C$47</f>
        <v/>
      </c>
      <c r="F22" s="173">
        <f>'Operating Model'!$C$47</f>
        <v/>
      </c>
      <c r="G22" s="173">
        <f>'Operating Model'!$C$47</f>
        <v/>
      </c>
    </row>
    <row r="23">
      <c r="B23" s="172" t="inlineStr">
        <is>
          <t>Less: Debt Service</t>
        </is>
      </c>
      <c r="C23" s="173">
        <f>$C$16</f>
        <v/>
      </c>
      <c r="D23" s="173">
        <f>$C$16</f>
        <v/>
      </c>
      <c r="E23" s="173">
        <f>$C$17</f>
        <v/>
      </c>
      <c r="F23" s="173">
        <f>$C$17</f>
        <v/>
      </c>
      <c r="G23" s="173">
        <f>$C$17</f>
        <v/>
      </c>
    </row>
    <row r="24">
      <c r="B24" s="180" t="inlineStr">
        <is>
          <t>Operating Cash Flow</t>
        </is>
      </c>
      <c r="C24" s="181">
        <f>C21-C22-C23</f>
        <v/>
      </c>
      <c r="D24" s="181">
        <f>D21-D22-D23</f>
        <v/>
      </c>
      <c r="E24" s="181">
        <f>E21-E22-E23</f>
        <v/>
      </c>
      <c r="F24" s="181">
        <f>F21-F22-F23</f>
        <v/>
      </c>
      <c r="G24" s="181">
        <f>G21-G22-G23</f>
        <v/>
      </c>
    </row>
    <row r="25">
      <c r="B25" s="172" t="inlineStr">
        <is>
          <t>DSCR</t>
        </is>
      </c>
      <c r="C25" s="182">
        <f>C21/C23</f>
        <v/>
      </c>
      <c r="D25" s="182">
        <f>D21/D23</f>
        <v/>
      </c>
      <c r="E25" s="182">
        <f>E21/E23</f>
        <v/>
      </c>
      <c r="F25" s="182">
        <f>F21/F23</f>
        <v/>
      </c>
      <c r="G25" s="182">
        <f>G21/G23</f>
        <v/>
      </c>
    </row>
    <row r="27">
      <c r="B27" s="183" t="inlineStr">
        <is>
          <t>SCENARIO 2A: LAND SALE TO MF DEVELOPER @ $246/SF (TARGET CASE)</t>
        </is>
      </c>
    </row>
    <row r="28">
      <c r="B28" s="172" t="inlineStr">
        <is>
          <t>Exit $/SF (Land)</t>
        </is>
      </c>
      <c r="C28" s="184" t="n">
        <v>246</v>
      </c>
    </row>
    <row r="29">
      <c r="B29" s="172" t="inlineStr">
        <is>
          <t>Gross Sale Price</t>
        </is>
      </c>
      <c r="C29" s="173">
        <f>C18*C28</f>
        <v/>
      </c>
    </row>
    <row r="30">
      <c r="B30" s="172" t="inlineStr">
        <is>
          <t>Implied Cap (Yr5 NOI)</t>
        </is>
      </c>
      <c r="C30" s="174">
        <f>G21/C29</f>
        <v/>
      </c>
    </row>
    <row r="31">
      <c r="B31" s="172" t="inlineStr">
        <is>
          <t>Disposition (2%)</t>
        </is>
      </c>
      <c r="C31" s="173">
        <f>C29*0.02</f>
        <v/>
      </c>
    </row>
    <row r="32">
      <c r="B32" s="172" t="inlineStr">
        <is>
          <t>Loan Payoff (Yr5, no refi)</t>
        </is>
      </c>
      <c r="C32" s="173">
        <f>'Operating Model'!C37</f>
        <v/>
      </c>
    </row>
    <row r="33">
      <c r="B33" s="180" t="inlineStr">
        <is>
          <t>Net Sale Proceeds</t>
        </is>
      </c>
      <c r="C33" s="181">
        <f>C29-C31-C32</f>
        <v/>
      </c>
    </row>
    <row r="34">
      <c r="B34" s="172" t="inlineStr">
        <is>
          <t>Going-in $/SF (Land)</t>
        </is>
      </c>
      <c r="C34" s="173">
        <f>C6/C18</f>
        <v/>
      </c>
    </row>
    <row r="35">
      <c r="B35" s="172" t="inlineStr">
        <is>
          <t>Land Appreciation</t>
        </is>
      </c>
      <c r="C35" s="174">
        <f>(C28-C34)/C34</f>
        <v/>
      </c>
    </row>
    <row r="37">
      <c r="B37" s="183" t="inlineStr">
        <is>
          <t>SCENARIO 2A SELLER CASH FLOW</t>
        </is>
      </c>
      <c r="C37" s="179" t="inlineStr">
        <is>
          <t>Year 1</t>
        </is>
      </c>
      <c r="D37" s="179" t="inlineStr">
        <is>
          <t>Year 2</t>
        </is>
      </c>
      <c r="E37" s="179" t="inlineStr">
        <is>
          <t>Year 3</t>
        </is>
      </c>
      <c r="F37" s="179" t="inlineStr">
        <is>
          <t>Year 4</t>
        </is>
      </c>
      <c r="G37" s="179" t="inlineStr">
        <is>
          <t>Year 5</t>
        </is>
      </c>
    </row>
    <row r="38">
      <c r="B38" s="172" t="inlineStr">
        <is>
          <t>Operating Cash Flow</t>
        </is>
      </c>
      <c r="C38" s="173">
        <f>C24</f>
        <v/>
      </c>
      <c r="D38" s="173">
        <f>D24</f>
        <v/>
      </c>
      <c r="E38" s="173">
        <f>E24</f>
        <v/>
      </c>
      <c r="F38" s="173">
        <f>F24</f>
        <v/>
      </c>
      <c r="G38" s="173">
        <f>G24</f>
        <v/>
      </c>
    </row>
    <row r="39">
      <c r="B39" s="172" t="inlineStr">
        <is>
          <t>Net Sale Proceeds (Yr 5)</t>
        </is>
      </c>
      <c r="C39" s="173" t="n">
        <v>0</v>
      </c>
      <c r="D39" s="173" t="n">
        <v>0</v>
      </c>
      <c r="E39" s="173" t="n">
        <v>0</v>
      </c>
      <c r="F39" s="173" t="n">
        <v>0</v>
      </c>
      <c r="G39" s="173">
        <f>C33</f>
        <v/>
      </c>
    </row>
    <row r="40">
      <c r="B40" s="180" t="inlineStr">
        <is>
          <t>Total Cash Flow</t>
        </is>
      </c>
      <c r="C40" s="181">
        <f>C38+C39</f>
        <v/>
      </c>
      <c r="D40" s="181">
        <f>D38+D39</f>
        <v/>
      </c>
      <c r="E40" s="181">
        <f>E38+E39</f>
        <v/>
      </c>
      <c r="F40" s="181">
        <f>F38+F39</f>
        <v/>
      </c>
      <c r="G40" s="181">
        <f>G38+G39</f>
        <v/>
      </c>
    </row>
    <row r="42">
      <c r="B42" s="172" t="inlineStr">
        <is>
          <t>Cash Flows for IRR</t>
        </is>
      </c>
      <c r="C42" s="173">
        <f>-C14</f>
        <v/>
      </c>
      <c r="D42" s="173">
        <f>C40</f>
        <v/>
      </c>
      <c r="E42" s="173">
        <f>D40</f>
        <v/>
      </c>
      <c r="F42" s="173">
        <f>E40</f>
        <v/>
      </c>
      <c r="G42" s="173">
        <f>F40</f>
        <v/>
      </c>
      <c r="H42" s="173">
        <f>G40</f>
        <v/>
      </c>
    </row>
    <row r="43">
      <c r="B43" s="180" t="inlineStr">
        <is>
          <t>SCENARIO 2A LEVERED IRR</t>
        </is>
      </c>
      <c r="C43" s="185">
        <f>IRR(C42:H42)</f>
        <v/>
      </c>
    </row>
    <row r="44">
      <c r="B44" s="172" t="inlineStr">
        <is>
          <t>Equity Multiple</t>
        </is>
      </c>
      <c r="C44" s="182">
        <f>SUM(D42:H42)/(-C42)</f>
        <v/>
      </c>
    </row>
    <row r="45">
      <c r="B45" s="172" t="inlineStr">
        <is>
          <t>Year 1 Cash-on-Cash</t>
        </is>
      </c>
      <c r="C45" s="174">
        <f>C24/C14</f>
        <v/>
      </c>
    </row>
    <row r="46">
      <c r="B46" s="172" t="inlineStr">
        <is>
          <t>Avg Cash-on-Cash (5 yr)</t>
        </is>
      </c>
      <c r="C46" s="174">
        <f>AVERAGE(C24:G24)/C14</f>
        <v/>
      </c>
    </row>
    <row r="48">
      <c r="B48" s="186" t="inlineStr">
        <is>
          <t>SCENARIO 2B: STABILIZED SALE @ 5.50% CAP RATE (DOWNSIDE / TRUE FLOOR)</t>
        </is>
      </c>
    </row>
    <row r="49">
      <c r="B49" s="172" t="inlineStr">
        <is>
          <t>Exit Cap Rate</t>
        </is>
      </c>
      <c r="C49" s="187" t="n">
        <v>0.055</v>
      </c>
    </row>
    <row r="50">
      <c r="B50" s="172" t="inlineStr">
        <is>
          <t>Year 5 NOI</t>
        </is>
      </c>
      <c r="C50" s="173">
        <f>G21</f>
        <v/>
      </c>
    </row>
    <row r="51">
      <c r="B51" s="172" t="inlineStr">
        <is>
          <t>Gross Sale Price</t>
        </is>
      </c>
      <c r="C51" s="173">
        <f>C50/C49</f>
        <v/>
      </c>
    </row>
    <row r="52">
      <c r="B52" s="172" t="inlineStr">
        <is>
          <t>Implied $/SF (Land)</t>
        </is>
      </c>
      <c r="C52" s="173">
        <f>C51/C18</f>
        <v/>
      </c>
    </row>
    <row r="53">
      <c r="B53" s="172" t="inlineStr">
        <is>
          <t>Implied $/SF (Building)</t>
        </is>
      </c>
      <c r="C53" s="173">
        <f>C51/'Operating Model'!C45</f>
        <v/>
      </c>
    </row>
    <row r="54">
      <c r="B54" s="172" t="inlineStr">
        <is>
          <t>Disposition (2%)</t>
        </is>
      </c>
      <c r="C54" s="173">
        <f>C51*0.02</f>
        <v/>
      </c>
    </row>
    <row r="55">
      <c r="B55" s="172" t="inlineStr">
        <is>
          <t>Loan Payoff (Yr5, no refi)</t>
        </is>
      </c>
      <c r="C55" s="173">
        <f>'Operating Model'!C37</f>
        <v/>
      </c>
    </row>
    <row r="56">
      <c r="B56" s="180" t="inlineStr">
        <is>
          <t>Net Sale Proceeds</t>
        </is>
      </c>
      <c r="C56" s="181">
        <f>C51-C54-C55</f>
        <v/>
      </c>
    </row>
    <row r="58">
      <c r="B58" s="186" t="inlineStr">
        <is>
          <t>SCENARIO 2B SELLER CASH FLOW</t>
        </is>
      </c>
      <c r="C58" s="179" t="inlineStr">
        <is>
          <t>Year 1</t>
        </is>
      </c>
      <c r="D58" s="179" t="inlineStr">
        <is>
          <t>Year 2</t>
        </is>
      </c>
      <c r="E58" s="179" t="inlineStr">
        <is>
          <t>Year 3</t>
        </is>
      </c>
      <c r="F58" s="179" t="inlineStr">
        <is>
          <t>Year 4</t>
        </is>
      </c>
      <c r="G58" s="179" t="inlineStr">
        <is>
          <t>Year 5</t>
        </is>
      </c>
    </row>
    <row r="59">
      <c r="B59" s="172" t="inlineStr">
        <is>
          <t>Operating Cash Flow</t>
        </is>
      </c>
      <c r="C59" s="173">
        <f>C24</f>
        <v/>
      </c>
      <c r="D59" s="173">
        <f>D24</f>
        <v/>
      </c>
      <c r="E59" s="173">
        <f>E24</f>
        <v/>
      </c>
      <c r="F59" s="173">
        <f>F24</f>
        <v/>
      </c>
      <c r="G59" s="173">
        <f>G24</f>
        <v/>
      </c>
    </row>
    <row r="60">
      <c r="B60" s="172" t="inlineStr">
        <is>
          <t>Net Sale Proceeds (Yr 5)</t>
        </is>
      </c>
      <c r="C60" s="173" t="n">
        <v>0</v>
      </c>
      <c r="D60" s="173" t="n">
        <v>0</v>
      </c>
      <c r="E60" s="173" t="n">
        <v>0</v>
      </c>
      <c r="F60" s="173" t="n">
        <v>0</v>
      </c>
      <c r="G60" s="173">
        <f>C56</f>
        <v/>
      </c>
    </row>
    <row r="61">
      <c r="B61" s="180" t="inlineStr">
        <is>
          <t>Total Cash Flow</t>
        </is>
      </c>
      <c r="C61" s="181">
        <f>C59+C60</f>
        <v/>
      </c>
      <c r="D61" s="181">
        <f>D59+D60</f>
        <v/>
      </c>
      <c r="E61" s="181">
        <f>E59+E60</f>
        <v/>
      </c>
      <c r="F61" s="181">
        <f>F59+F60</f>
        <v/>
      </c>
      <c r="G61" s="181">
        <f>G59+G60</f>
        <v/>
      </c>
    </row>
    <row r="63">
      <c r="B63" s="172" t="inlineStr">
        <is>
          <t>Cash Flows for IRR</t>
        </is>
      </c>
      <c r="C63" s="173">
        <f>-C14</f>
        <v/>
      </c>
      <c r="D63" s="173">
        <f>C61</f>
        <v/>
      </c>
      <c r="E63" s="173">
        <f>D61</f>
        <v/>
      </c>
      <c r="F63" s="173">
        <f>E61</f>
        <v/>
      </c>
      <c r="G63" s="173">
        <f>F61</f>
        <v/>
      </c>
      <c r="H63" s="173">
        <f>G61</f>
        <v/>
      </c>
    </row>
    <row r="64">
      <c r="B64" s="180" t="inlineStr">
        <is>
          <t>SCENARIO 2B LEVERED IRR</t>
        </is>
      </c>
      <c r="C64" s="185">
        <f>IRR(C63:H63)</f>
        <v/>
      </c>
    </row>
    <row r="65">
      <c r="B65" s="172" t="inlineStr">
        <is>
          <t>Equity Multiple</t>
        </is>
      </c>
      <c r="C65" s="182">
        <f>SUM(D63:H63)/(-C63)</f>
        <v/>
      </c>
    </row>
    <row r="66">
      <c r="B66" s="172" t="inlineStr">
        <is>
          <t>Year 1 Cash-on-Cash</t>
        </is>
      </c>
      <c r="C66" s="174">
        <f>C24/C14</f>
        <v/>
      </c>
    </row>
    <row r="67">
      <c r="B67" s="172" t="inlineStr">
        <is>
          <t>Avg Cash-on-Cash (5 yr)</t>
        </is>
      </c>
      <c r="C67" s="174">
        <f>AVERAGE(C24:G24)/C14</f>
        <v/>
      </c>
    </row>
    <row r="69">
      <c r="B69" s="188" t="inlineStr">
        <is>
          <t>SCENARIO COMPARISON</t>
        </is>
      </c>
    </row>
    <row r="70">
      <c r="B70" s="189" t="inlineStr">
        <is>
          <t>Metric</t>
        </is>
      </c>
      <c r="C70" s="190" t="inlineStr">
        <is>
          <t>2A: $246 PSF (Yr 5)</t>
        </is>
      </c>
      <c r="D70" s="190" t="inlineStr">
        <is>
          <t>2B: 5.50% Cap (Yr 5)</t>
        </is>
      </c>
      <c r="E70" s="190" t="inlineStr">
        <is>
          <t>Base: $300 PSF (Yr 10)</t>
        </is>
      </c>
    </row>
    <row r="71">
      <c r="B71" s="172" t="inlineStr">
        <is>
          <t>Hold Period</t>
        </is>
      </c>
      <c r="C71" s="191" t="inlineStr">
        <is>
          <t>5 years</t>
        </is>
      </c>
      <c r="D71" s="191" t="inlineStr">
        <is>
          <t>5 years</t>
        </is>
      </c>
      <c r="E71" s="191" t="inlineStr">
        <is>
          <t>10 years</t>
        </is>
      </c>
    </row>
    <row r="72">
      <c r="B72" s="172" t="inlineStr">
        <is>
          <t>Gross Sale Price</t>
        </is>
      </c>
      <c r="C72" s="192">
        <f>C29</f>
        <v/>
      </c>
      <c r="D72" s="192">
        <f>C51</f>
        <v/>
      </c>
      <c r="E72" s="192">
        <f>'Land Sale to MF Developer'!C29</f>
        <v/>
      </c>
    </row>
    <row r="73">
      <c r="B73" s="172" t="inlineStr">
        <is>
          <t>Implied $/SF (Land)</t>
        </is>
      </c>
      <c r="C73" s="192">
        <f>C28</f>
        <v/>
      </c>
      <c r="D73" s="192">
        <f>C52</f>
        <v/>
      </c>
      <c r="E73" s="192">
        <f>'Land Sale to MF Developer'!C28</f>
        <v/>
      </c>
    </row>
    <row r="74">
      <c r="B74" s="172" t="inlineStr">
        <is>
          <t>Implied Cap Rate</t>
        </is>
      </c>
      <c r="C74" s="193">
        <f>C30</f>
        <v/>
      </c>
      <c r="D74" s="193">
        <f>C49</f>
        <v/>
      </c>
      <c r="E74" s="193">
        <f>'Land Sale to MF Developer'!C30</f>
        <v/>
      </c>
    </row>
    <row r="75">
      <c r="B75" s="172" t="inlineStr">
        <is>
          <t>Loan Payoff</t>
        </is>
      </c>
      <c r="C75" s="192">
        <f>C32</f>
        <v/>
      </c>
      <c r="D75" s="192">
        <f>C55</f>
        <v/>
      </c>
      <c r="E75" s="192">
        <f>'Operating Model'!C42</f>
        <v/>
      </c>
    </row>
    <row r="76">
      <c r="B76" s="172" t="inlineStr">
        <is>
          <t>Net Sale Proceeds</t>
        </is>
      </c>
      <c r="C76" s="192">
        <f>C33</f>
        <v/>
      </c>
      <c r="D76" s="192">
        <f>C56</f>
        <v/>
      </c>
      <c r="E76" s="192">
        <f>'Land Sale to MF Developer'!C33</f>
        <v/>
      </c>
    </row>
    <row r="77">
      <c r="B77" s="180" t="inlineStr">
        <is>
          <t>Levered IRR</t>
        </is>
      </c>
      <c r="C77" s="194">
        <f>C43</f>
        <v/>
      </c>
      <c r="D77" s="194">
        <f>C64</f>
        <v/>
      </c>
      <c r="E77" s="194">
        <f>'Land Sale to MF Developer'!C44</f>
        <v/>
      </c>
    </row>
    <row r="78">
      <c r="B78" s="180" t="inlineStr">
        <is>
          <t>Equity Multiple</t>
        </is>
      </c>
      <c r="C78" s="195">
        <f>C44</f>
        <v/>
      </c>
      <c r="D78" s="195">
        <f>C65</f>
        <v/>
      </c>
      <c r="E78" s="195">
        <f>'Land Sale to MF Developer'!C45</f>
        <v/>
      </c>
    </row>
    <row r="80">
      <c r="B80" s="196" t="inlineStr">
        <is>
          <t>LP WATERFALL — 5-YEAR SCENARIOS</t>
        </is>
      </c>
    </row>
    <row r="81">
      <c r="B81" s="172" t="inlineStr">
        <is>
          <t>Total Equity Invested</t>
        </is>
      </c>
      <c r="C81" s="173">
        <f>'LP Waterfall'!C6</f>
        <v/>
      </c>
    </row>
    <row r="82">
      <c r="B82" s="172" t="inlineStr">
        <is>
          <t>Annual Management Fee (1.25%)</t>
        </is>
      </c>
      <c r="C82" s="173">
        <f>'LP Waterfall'!C8</f>
        <v/>
      </c>
    </row>
    <row r="83">
      <c r="B83" s="172" t="inlineStr">
        <is>
          <t>Pref Return Multiple</t>
        </is>
      </c>
      <c r="C83" s="182">
        <f>'LP Waterfall'!C10</f>
        <v/>
      </c>
    </row>
    <row r="84">
      <c r="B84" s="172" t="inlineStr">
        <is>
          <t>Pref Return Threshold</t>
        </is>
      </c>
      <c r="C84" s="173">
        <f>'LP Waterfall'!C11</f>
        <v/>
      </c>
    </row>
    <row r="85">
      <c r="B85" s="172" t="inlineStr">
        <is>
          <t>LP Profit Split</t>
        </is>
      </c>
      <c r="C85" s="174">
        <f>'LP Waterfall'!C12</f>
        <v/>
      </c>
    </row>
    <row r="87">
      <c r="B87" s="196" t="inlineStr">
        <is>
          <t>5-YEAR LP OPERATING DISTRIBUTIONS (NET OF MGMT FEE)</t>
        </is>
      </c>
      <c r="C87" s="197" t="inlineStr">
        <is>
          <t>Year 1</t>
        </is>
      </c>
      <c r="D87" s="197" t="inlineStr">
        <is>
          <t>Year 2</t>
        </is>
      </c>
      <c r="E87" s="197" t="inlineStr">
        <is>
          <t>Year 3</t>
        </is>
      </c>
      <c r="F87" s="197" t="inlineStr">
        <is>
          <t>Year 4</t>
        </is>
      </c>
      <c r="G87" s="197" t="inlineStr">
        <is>
          <t>Year 5</t>
        </is>
      </c>
    </row>
    <row r="88">
      <c r="B88" s="172" t="inlineStr">
        <is>
          <t>Operating Cash Flow</t>
        </is>
      </c>
      <c r="C88" s="173">
        <f>C24</f>
        <v/>
      </c>
      <c r="D88" s="173">
        <f>D24</f>
        <v/>
      </c>
      <c r="E88" s="173">
        <f>E24</f>
        <v/>
      </c>
      <c r="F88" s="173">
        <f>F24</f>
        <v/>
      </c>
      <c r="G88" s="173">
        <f>G24</f>
        <v/>
      </c>
    </row>
    <row r="89">
      <c r="B89" s="172" t="inlineStr">
        <is>
          <t>Less: Management Fee</t>
        </is>
      </c>
      <c r="C89" s="173">
        <f>-$C$82</f>
        <v/>
      </c>
      <c r="D89" s="173">
        <f>-$C$82</f>
        <v/>
      </c>
      <c r="E89" s="173">
        <f>-$C$82</f>
        <v/>
      </c>
      <c r="F89" s="173">
        <f>-$C$82</f>
        <v/>
      </c>
      <c r="G89" s="173">
        <f>-$C$82</f>
        <v/>
      </c>
    </row>
    <row r="90">
      <c r="B90" s="180" t="inlineStr">
        <is>
          <t>LP Net Distribution</t>
        </is>
      </c>
      <c r="C90" s="181">
        <f>C88+C89</f>
        <v/>
      </c>
      <c r="D90" s="181">
        <f>D88+D89</f>
        <v/>
      </c>
      <c r="E90" s="181">
        <f>E88+E89</f>
        <v/>
      </c>
      <c r="F90" s="181">
        <f>F88+F89</f>
        <v/>
      </c>
      <c r="G90" s="181">
        <f>G88+G89</f>
        <v/>
      </c>
    </row>
    <row r="91">
      <c r="B91" s="172" t="inlineStr">
        <is>
          <t>Cumulative LP Ops Dist</t>
        </is>
      </c>
      <c r="C91" s="173">
        <f>C90</f>
        <v/>
      </c>
      <c r="D91" s="173">
        <f>C91+D90</f>
        <v/>
      </c>
      <c r="E91" s="173">
        <f>D91+E90</f>
        <v/>
      </c>
      <c r="F91" s="173">
        <f>E91+F90</f>
        <v/>
      </c>
      <c r="G91" s="173">
        <f>F91+G90</f>
        <v/>
      </c>
    </row>
    <row r="93">
      <c r="B93" s="198" t="inlineStr">
        <is>
          <t>SCENARIO 2A LP WATERFALL</t>
        </is>
      </c>
    </row>
    <row r="94">
      <c r="B94" s="172" t="inlineStr">
        <is>
          <t>Net Sale Proceeds</t>
        </is>
      </c>
      <c r="C94" s="173">
        <f>C33</f>
        <v/>
      </c>
    </row>
    <row r="95">
      <c r="B95" s="172" t="inlineStr">
        <is>
          <t>Cumulative Operating Distributions</t>
        </is>
      </c>
      <c r="C95" s="173">
        <f>G91</f>
        <v/>
      </c>
    </row>
    <row r="96">
      <c r="B96" s="180" t="inlineStr">
        <is>
          <t>Total Value Created</t>
        </is>
      </c>
      <c r="C96" s="181">
        <f>C94+C95</f>
        <v/>
      </c>
    </row>
    <row r="98">
      <c r="B98" s="172" t="inlineStr">
        <is>
          <t>Tier 1: Return of Capital</t>
        </is>
      </c>
      <c r="C98" s="173">
        <f>MIN(C96,$C$81)</f>
        <v/>
      </c>
    </row>
    <row r="99">
      <c r="B99" s="172" t="inlineStr">
        <is>
          <t>Tier 2: Preferred Return</t>
        </is>
      </c>
      <c r="C99" s="173">
        <f>MIN(MAX(C96-$C$81,0),$C$81*($C$83-1))</f>
        <v/>
      </c>
    </row>
    <row r="100">
      <c r="B100" s="172" t="inlineStr">
        <is>
          <t>Tier 3: LP Profit Share (80%)</t>
        </is>
      </c>
      <c r="C100" s="173">
        <f>MAX(C96-$C$84,0)*$C$85</f>
        <v/>
      </c>
    </row>
    <row r="101">
      <c r="B101" s="172" t="inlineStr">
        <is>
          <t>Tier 3: GP Promote (20%)</t>
        </is>
      </c>
      <c r="C101" s="173">
        <f>MAX(C96-$C$84,0)*(1-$C$85)</f>
        <v/>
      </c>
    </row>
    <row r="102">
      <c r="B102" s="180" t="inlineStr">
        <is>
          <t>Total LP Distributions</t>
        </is>
      </c>
      <c r="C102" s="181">
        <f>C98+C99+C100</f>
        <v/>
      </c>
    </row>
    <row r="103">
      <c r="B103" s="172" t="inlineStr">
        <is>
          <t>LP Sale Proceeds (Yr 5)</t>
        </is>
      </c>
      <c r="C103" s="173">
        <f>C102-C95</f>
        <v/>
      </c>
    </row>
    <row r="105">
      <c r="B105" s="172" t="inlineStr">
        <is>
          <t>2A LP Cash Flows</t>
        </is>
      </c>
      <c r="C105" s="173">
        <f>-C81</f>
        <v/>
      </c>
      <c r="D105" s="173">
        <f>C90</f>
        <v/>
      </c>
      <c r="E105" s="173">
        <f>D90</f>
        <v/>
      </c>
      <c r="F105" s="173">
        <f>E90</f>
        <v/>
      </c>
      <c r="G105" s="173">
        <f>F90</f>
        <v/>
      </c>
      <c r="H105" s="173">
        <f>G90+C103</f>
        <v/>
      </c>
    </row>
    <row r="106">
      <c r="B106" s="180" t="inlineStr">
        <is>
          <t>2A LP IRR</t>
        </is>
      </c>
      <c r="C106" s="185">
        <f>IRR(C105:H105)</f>
        <v/>
      </c>
    </row>
    <row r="107">
      <c r="B107" s="180" t="inlineStr">
        <is>
          <t>2A LP Equity Multiple</t>
        </is>
      </c>
      <c r="C107" s="199">
        <f>SUM(D105:H105)/(-C105)</f>
        <v/>
      </c>
    </row>
    <row r="108">
      <c r="B108" s="233" t="inlineStr">
        <is>
          <t>2A LP Avg Cash-on-Cash (5-Yr)</t>
        </is>
      </c>
      <c r="C108" s="118">
        <f>AVERAGE(C90:G90)/C81</f>
        <v/>
      </c>
    </row>
    <row r="109">
      <c r="B109" s="200" t="inlineStr">
        <is>
          <t>SCENARIO 2B LP WATERFALL</t>
        </is>
      </c>
    </row>
    <row r="110">
      <c r="B110" s="172" t="inlineStr">
        <is>
          <t>Net Sale Proceeds</t>
        </is>
      </c>
      <c r="C110" s="173">
        <f>C56</f>
        <v/>
      </c>
    </row>
    <row r="111">
      <c r="B111" s="172" t="inlineStr">
        <is>
          <t>Cumulative Operating Distributions</t>
        </is>
      </c>
      <c r="C111" s="173">
        <f>G91</f>
        <v/>
      </c>
    </row>
    <row r="112">
      <c r="B112" s="180" t="inlineStr">
        <is>
          <t>Total Value Created</t>
        </is>
      </c>
      <c r="C112" s="181">
        <f>C110+C111</f>
        <v/>
      </c>
    </row>
    <row r="114">
      <c r="B114" s="172" t="inlineStr">
        <is>
          <t>Tier 1: Return of Capital</t>
        </is>
      </c>
      <c r="C114" s="173">
        <f>MIN(C112,$C$81)</f>
        <v/>
      </c>
    </row>
    <row r="115">
      <c r="B115" s="172" t="inlineStr">
        <is>
          <t>Tier 2: Preferred Return</t>
        </is>
      </c>
      <c r="C115" s="173">
        <f>MIN(MAX(C112-$C$81,0),$C$81*($C$83-1))</f>
        <v/>
      </c>
    </row>
    <row r="116">
      <c r="B116" s="172" t="inlineStr">
        <is>
          <t>Tier 3: LP Profit Share (80%)</t>
        </is>
      </c>
      <c r="C116" s="173">
        <f>MAX(C112-$C$84,0)*$C$85</f>
        <v/>
      </c>
    </row>
    <row r="117">
      <c r="B117" s="172" t="inlineStr">
        <is>
          <t>Tier 3: GP Promote (20%)</t>
        </is>
      </c>
      <c r="C117" s="173">
        <f>MAX(C112-$C$84,0)*(1-$C$85)</f>
        <v/>
      </c>
    </row>
    <row r="118">
      <c r="B118" s="180" t="inlineStr">
        <is>
          <t>Total LP Distributions</t>
        </is>
      </c>
      <c r="C118" s="181">
        <f>C114+C115+C116</f>
        <v/>
      </c>
    </row>
    <row r="119">
      <c r="B119" s="172" t="inlineStr">
        <is>
          <t>LP Sale Proceeds (Yr 5)</t>
        </is>
      </c>
      <c r="C119" s="173">
        <f>C118-C111</f>
        <v/>
      </c>
    </row>
    <row r="121">
      <c r="B121" s="172" t="inlineStr">
        <is>
          <t>2B LP Cash Flows</t>
        </is>
      </c>
      <c r="C121" s="173">
        <f>-C81</f>
        <v/>
      </c>
      <c r="D121" s="173">
        <f>C90</f>
        <v/>
      </c>
      <c r="E121" s="173">
        <f>D90</f>
        <v/>
      </c>
      <c r="F121" s="173">
        <f>E90</f>
        <v/>
      </c>
      <c r="G121" s="173">
        <f>F90</f>
        <v/>
      </c>
      <c r="H121" s="173">
        <f>G90+C119</f>
        <v/>
      </c>
    </row>
    <row r="122">
      <c r="B122" s="180" t="inlineStr">
        <is>
          <t>2B LP IRR</t>
        </is>
      </c>
      <c r="C122" s="185">
        <f>IRR(C121:H121)</f>
        <v/>
      </c>
    </row>
    <row r="123">
      <c r="B123" s="180" t="inlineStr">
        <is>
          <t>2B LP Equity Multiple</t>
        </is>
      </c>
      <c r="C123" s="199">
        <f>SUM(D121:H121)/(-C121)</f>
        <v/>
      </c>
    </row>
    <row r="124">
      <c r="B124" s="233" t="inlineStr">
        <is>
          <t>2B LP Avg Cash-on-Cash (5-Yr)</t>
        </is>
      </c>
      <c r="C124" s="118">
        <f>AVERAGE(C90:G90)/C81</f>
        <v/>
      </c>
    </row>
    <row r="125">
      <c r="B125" s="201" t="inlineStr">
        <is>
          <t>FULL COMPARISON — PROJECT vs LP</t>
        </is>
      </c>
    </row>
    <row r="126">
      <c r="B126" s="202" t="inlineStr">
        <is>
          <t>Metric</t>
        </is>
      </c>
      <c r="C126" s="203" t="inlineStr">
        <is>
          <t>2A: $246 PSF (Yr 5)</t>
        </is>
      </c>
      <c r="D126" s="203" t="inlineStr">
        <is>
          <t>2B: 5.50% Cap (Yr 5)</t>
        </is>
      </c>
      <c r="E126" s="203" t="inlineStr">
        <is>
          <t>Base: $300 PSF (Yr 10)</t>
        </is>
      </c>
    </row>
    <row r="127">
      <c r="B127" s="180" t="inlineStr">
        <is>
          <t>Project IRR (gross)</t>
        </is>
      </c>
      <c r="C127" s="194">
        <f>C43</f>
        <v/>
      </c>
      <c r="D127" s="194">
        <f>C64</f>
        <v/>
      </c>
      <c r="E127" s="194">
        <f>'Land Sale to MF Developer'!C44</f>
        <v/>
      </c>
    </row>
    <row r="128">
      <c r="B128" s="180" t="inlineStr">
        <is>
          <t>Project Equity Multiple</t>
        </is>
      </c>
      <c r="C128" s="195">
        <f>C44</f>
        <v/>
      </c>
      <c r="D128" s="195">
        <f>C65</f>
        <v/>
      </c>
      <c r="E128" s="195">
        <f>'Land Sale to MF Developer'!C45</f>
        <v/>
      </c>
    </row>
    <row r="129">
      <c r="B129" s="180" t="inlineStr">
        <is>
          <t>LP IRR (net)</t>
        </is>
      </c>
      <c r="C129" s="194">
        <f>C106</f>
        <v/>
      </c>
      <c r="D129" s="194">
        <f>C122</f>
        <v/>
      </c>
      <c r="E129" s="194">
        <f>'LP Waterfall'!C52</f>
        <v/>
      </c>
    </row>
    <row r="130">
      <c r="B130" s="180" t="inlineStr">
        <is>
          <t>LP Equity Multiple (net)</t>
        </is>
      </c>
      <c r="C130" s="195">
        <f>C107</f>
        <v/>
      </c>
      <c r="D130" s="195">
        <f>C123</f>
        <v/>
      </c>
      <c r="E130" s="195">
        <f>'LP Waterfall'!C53</f>
        <v/>
      </c>
    </row>
    <row r="131">
      <c r="B131" s="172" t="inlineStr">
        <is>
          <t>LP Total Distributions</t>
        </is>
      </c>
      <c r="C131" s="192">
        <f>C102</f>
        <v/>
      </c>
      <c r="D131" s="192">
        <f>C118</f>
        <v/>
      </c>
      <c r="E131" s="192">
        <f>'LP Waterfall'!C42</f>
        <v/>
      </c>
    </row>
    <row r="132">
      <c r="B132" s="233" t="inlineStr">
        <is>
          <t>LP Avg Cash-on-Cash</t>
        </is>
      </c>
      <c r="C132" s="193">
        <f>C108</f>
        <v/>
      </c>
      <c r="D132" s="193">
        <f>C124</f>
        <v/>
      </c>
      <c r="E132" s="193">
        <f>'LP Waterfall'!C54</f>
        <v/>
      </c>
    </row>
  </sheetData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B2:M62"/>
  <sheetViews>
    <sheetView zoomScaleNormal="100" workbookViewId="0">
      <selection activeCell="A1" sqref="A1"/>
    </sheetView>
  </sheetViews>
  <sheetFormatPr baseColWidth="10" defaultColWidth="8.6640625" defaultRowHeight="15"/>
  <cols>
    <col width="2" customWidth="1" style="262" min="1" max="1"/>
    <col width="34" customWidth="1" style="262" min="2" max="2"/>
    <col width="16" customWidth="1" style="262" min="3" max="13"/>
  </cols>
  <sheetData>
    <row r="2" ht="17.25" customHeight="1" s="262">
      <c r="B2" s="63" t="inlineStr">
        <is>
          <t>LP WATERFALL ANALYSIS</t>
        </is>
      </c>
    </row>
    <row r="4" ht="15" customHeight="1" s="262">
      <c r="B4" s="63" t="inlineStr">
        <is>
          <t>ASSUMPTIONS</t>
        </is>
      </c>
    </row>
    <row r="6" ht="15" customHeight="1" s="262">
      <c r="B6" s="66" t="inlineStr">
        <is>
          <t>Total Equity Invested</t>
        </is>
      </c>
      <c r="C6" s="100">
        <f>'Operating Model'!C14</f>
        <v/>
      </c>
    </row>
    <row r="7" ht="15" customHeight="1" s="262">
      <c r="B7" s="66" t="inlineStr">
        <is>
          <t>Management Fee (%)</t>
        </is>
      </c>
      <c r="C7" s="70" t="n">
        <v>0.0125</v>
      </c>
    </row>
    <row r="8" ht="15" customHeight="1" s="262">
      <c r="B8" s="66" t="inlineStr">
        <is>
          <t>Annual Management Fee</t>
        </is>
      </c>
      <c r="C8" s="71">
        <f>C6*C7</f>
        <v/>
      </c>
    </row>
    <row r="10" ht="15" customHeight="1" s="262">
      <c r="B10" s="66" t="inlineStr">
        <is>
          <t>Preferred Return Multiple</t>
        </is>
      </c>
      <c r="C10" s="111" t="n">
        <v>1.25</v>
      </c>
    </row>
    <row r="11" ht="15" customHeight="1" s="262">
      <c r="B11" s="66" t="inlineStr">
        <is>
          <t>Pref Return Threshold ($)</t>
        </is>
      </c>
      <c r="C11" s="71">
        <f>C6*C10</f>
        <v/>
      </c>
    </row>
    <row r="12" ht="15" customHeight="1" s="262">
      <c r="B12" s="66" t="inlineStr">
        <is>
          <t>LP Profit Split (%)</t>
        </is>
      </c>
      <c r="C12" s="70" t="n">
        <v>0.8</v>
      </c>
    </row>
    <row r="13" ht="15" customHeight="1" s="262">
      <c r="B13" s="66" t="inlineStr">
        <is>
          <t>GP Profit Split (%)</t>
        </is>
      </c>
      <c r="C13" s="90">
        <f>1-C12</f>
        <v/>
      </c>
    </row>
    <row r="15" ht="15" customHeight="1" s="262">
      <c r="B15" s="63" t="inlineStr">
        <is>
          <t>OPERATING DISTRIBUTIONS</t>
        </is>
      </c>
    </row>
    <row r="16" ht="15" customHeight="1" s="262">
      <c r="D16" s="95" t="inlineStr">
        <is>
          <t>Year 1</t>
        </is>
      </c>
      <c r="E16" s="95" t="inlineStr">
        <is>
          <t>Year 2</t>
        </is>
      </c>
      <c r="F16" s="95" t="inlineStr">
        <is>
          <t>Year 3</t>
        </is>
      </c>
      <c r="G16" s="95" t="inlineStr">
        <is>
          <t>Year 4</t>
        </is>
      </c>
      <c r="H16" s="95" t="inlineStr">
        <is>
          <t>Year 5</t>
        </is>
      </c>
      <c r="I16" s="95" t="inlineStr">
        <is>
          <t>Year 6</t>
        </is>
      </c>
      <c r="J16" s="95" t="inlineStr">
        <is>
          <t>Year 7</t>
        </is>
      </c>
      <c r="K16" s="95" t="inlineStr">
        <is>
          <t>Year 8</t>
        </is>
      </c>
      <c r="L16" s="95" t="inlineStr">
        <is>
          <t>Year 9</t>
        </is>
      </c>
      <c r="M16" s="95" t="inlineStr">
        <is>
          <t>Year 10</t>
        </is>
      </c>
    </row>
    <row r="17" ht="15" customHeight="1" s="262">
      <c r="B17" s="66" t="inlineStr">
        <is>
          <t>Operating Cash Flow</t>
        </is>
      </c>
      <c r="D17" s="100">
        <f>'Operating Model'!C24</f>
        <v/>
      </c>
      <c r="E17" s="100">
        <f>'Operating Model'!D24</f>
        <v/>
      </c>
      <c r="F17" s="100">
        <f>'Operating Model'!E24</f>
        <v/>
      </c>
      <c r="G17" s="100">
        <f>'Operating Model'!F24</f>
        <v/>
      </c>
      <c r="H17" s="100">
        <f>'Operating Model'!G24</f>
        <v/>
      </c>
      <c r="I17" s="100">
        <f>'Operating Model'!H24</f>
        <v/>
      </c>
      <c r="J17" s="100">
        <f>'Operating Model'!I24</f>
        <v/>
      </c>
      <c r="K17" s="100">
        <f>'Operating Model'!J24</f>
        <v/>
      </c>
      <c r="L17" s="100">
        <f>'Operating Model'!K24</f>
        <v/>
      </c>
      <c r="M17" s="100">
        <f>'Operating Model'!L24</f>
        <v/>
      </c>
    </row>
    <row r="18" ht="15" customHeight="1" s="262">
      <c r="B18" s="66" t="inlineStr">
        <is>
          <t>Less: Management Fee</t>
        </is>
      </c>
      <c r="D18" s="71">
        <f>-$C$8</f>
        <v/>
      </c>
      <c r="E18" s="71">
        <f>-$C$8</f>
        <v/>
      </c>
      <c r="F18" s="71">
        <f>-$C$8</f>
        <v/>
      </c>
      <c r="G18" s="71">
        <f>-$C$8</f>
        <v/>
      </c>
      <c r="H18" s="71">
        <f>-$C$8</f>
        <v/>
      </c>
      <c r="I18" s="71">
        <f>-$C$8</f>
        <v/>
      </c>
      <c r="J18" s="71">
        <f>-$C$8</f>
        <v/>
      </c>
      <c r="K18" s="71">
        <f>-$C$8</f>
        <v/>
      </c>
      <c r="L18" s="71">
        <f>-$C$8</f>
        <v/>
      </c>
      <c r="M18" s="71">
        <f>-$C$8</f>
        <v/>
      </c>
    </row>
    <row r="19" ht="15" customHeight="1" s="262">
      <c r="B19" s="66" t="inlineStr">
        <is>
          <t>Net Operating Distribution</t>
        </is>
      </c>
      <c r="D19" s="71">
        <f>D17+D18</f>
        <v/>
      </c>
      <c r="E19" s="71">
        <f>E17+E18</f>
        <v/>
      </c>
      <c r="F19" s="71">
        <f>F17+F18</f>
        <v/>
      </c>
      <c r="G19" s="71">
        <f>G17+G18</f>
        <v/>
      </c>
      <c r="H19" s="71">
        <f>H17+H18</f>
        <v/>
      </c>
      <c r="I19" s="71">
        <f>I17+I18</f>
        <v/>
      </c>
      <c r="J19" s="71">
        <f>J17+J18</f>
        <v/>
      </c>
      <c r="K19" s="71">
        <f>K17+K18</f>
        <v/>
      </c>
      <c r="L19" s="71">
        <f>L17+L18</f>
        <v/>
      </c>
      <c r="M19" s="71">
        <f>M17+M18</f>
        <v/>
      </c>
    </row>
    <row r="20" ht="15" customHeight="1" s="262">
      <c r="B20" s="66" t="inlineStr">
        <is>
          <t>Refi Cash-Out (Yr 5)</t>
        </is>
      </c>
      <c r="D20" s="71" t="n">
        <v>0</v>
      </c>
      <c r="E20" s="71" t="n">
        <v>0</v>
      </c>
      <c r="F20" s="71" t="n">
        <v>0</v>
      </c>
      <c r="G20" s="71" t="n">
        <v>0</v>
      </c>
      <c r="H20" s="100">
        <f>'Operating Model'!C39</f>
        <v/>
      </c>
      <c r="I20" s="71" t="n">
        <v>0</v>
      </c>
      <c r="J20" s="71" t="n">
        <v>0</v>
      </c>
      <c r="K20" s="71" t="n">
        <v>0</v>
      </c>
      <c r="L20" s="71" t="n">
        <v>0</v>
      </c>
      <c r="M20" s="71" t="n">
        <v>0</v>
      </c>
    </row>
    <row r="21" ht="15" customHeight="1" s="262">
      <c r="B21" s="63" t="inlineStr">
        <is>
          <t>Total Distributable</t>
        </is>
      </c>
      <c r="D21" s="80">
        <f>D19+D20</f>
        <v/>
      </c>
      <c r="E21" s="80">
        <f>E19+E20</f>
        <v/>
      </c>
      <c r="F21" s="80">
        <f>F19+F20</f>
        <v/>
      </c>
      <c r="G21" s="80">
        <f>G19+G20</f>
        <v/>
      </c>
      <c r="H21" s="80">
        <f>H19+H20</f>
        <v/>
      </c>
      <c r="I21" s="80">
        <f>I19+I20</f>
        <v/>
      </c>
      <c r="J21" s="80">
        <f>J19+J20</f>
        <v/>
      </c>
      <c r="K21" s="80">
        <f>K19+K20</f>
        <v/>
      </c>
      <c r="L21" s="80">
        <f>L19+L20</f>
        <v/>
      </c>
      <c r="M21" s="80">
        <f>M19+M20</f>
        <v/>
      </c>
    </row>
    <row r="22" ht="15" customHeight="1" s="262">
      <c r="B22" s="66" t="inlineStr">
        <is>
          <t>Cumulative Distributed</t>
        </is>
      </c>
      <c r="D22" s="71">
        <f>D21</f>
        <v/>
      </c>
      <c r="E22" s="71">
        <f>D22+E21</f>
        <v/>
      </c>
      <c r="F22" s="71">
        <f>E22+F21</f>
        <v/>
      </c>
      <c r="G22" s="71">
        <f>F22+G21</f>
        <v/>
      </c>
      <c r="H22" s="71">
        <f>G22+H21</f>
        <v/>
      </c>
      <c r="I22" s="71">
        <f>H22+I21</f>
        <v/>
      </c>
      <c r="J22" s="71">
        <f>I22+J21</f>
        <v/>
      </c>
      <c r="K22" s="71">
        <f>J22+K21</f>
        <v/>
      </c>
      <c r="L22" s="71">
        <f>K22+L21</f>
        <v/>
      </c>
      <c r="M22" s="71">
        <f>L22+M21</f>
        <v/>
      </c>
    </row>
    <row r="24" ht="15" customHeight="1" s="262">
      <c r="B24" s="63" t="inlineStr">
        <is>
          <t>ANNUAL RETURN OF CAPITAL</t>
        </is>
      </c>
    </row>
    <row r="25" ht="15" customHeight="1" s="262">
      <c r="D25" s="95" t="inlineStr">
        <is>
          <t>Year 1</t>
        </is>
      </c>
      <c r="E25" s="95" t="inlineStr">
        <is>
          <t>Year 2</t>
        </is>
      </c>
      <c r="F25" s="95" t="inlineStr">
        <is>
          <t>Year 3</t>
        </is>
      </c>
      <c r="G25" s="95" t="inlineStr">
        <is>
          <t>Year 4</t>
        </is>
      </c>
      <c r="H25" s="95" t="inlineStr">
        <is>
          <t>Year 5</t>
        </is>
      </c>
      <c r="I25" s="95" t="inlineStr">
        <is>
          <t>Year 6</t>
        </is>
      </c>
      <c r="J25" s="95" t="inlineStr">
        <is>
          <t>Year 7</t>
        </is>
      </c>
      <c r="K25" s="95" t="inlineStr">
        <is>
          <t>Year 8</t>
        </is>
      </c>
      <c r="L25" s="95" t="inlineStr">
        <is>
          <t>Year 9</t>
        </is>
      </c>
      <c r="M25" s="95" t="inlineStr">
        <is>
          <t>Year 10</t>
        </is>
      </c>
    </row>
    <row r="26" ht="15" customHeight="1" s="262">
      <c r="B26" s="66" t="inlineStr">
        <is>
          <t>Annual Distribution</t>
        </is>
      </c>
      <c r="D26" s="71">
        <f>D21</f>
        <v/>
      </c>
      <c r="E26" s="71">
        <f>E21</f>
        <v/>
      </c>
      <c r="F26" s="71">
        <f>F21</f>
        <v/>
      </c>
      <c r="G26" s="71">
        <f>G21</f>
        <v/>
      </c>
      <c r="H26" s="71">
        <f>H21</f>
        <v/>
      </c>
      <c r="I26" s="71">
        <f>I21</f>
        <v/>
      </c>
      <c r="J26" s="71">
        <f>J21</f>
        <v/>
      </c>
      <c r="K26" s="71">
        <f>K21</f>
        <v/>
      </c>
      <c r="L26" s="71">
        <f>L21</f>
        <v/>
      </c>
      <c r="M26" s="71">
        <f>M21</f>
        <v/>
      </c>
    </row>
    <row r="27" ht="15" customHeight="1" s="262">
      <c r="B27" s="66" t="inlineStr">
        <is>
          <t>Cumulative Distribution</t>
        </is>
      </c>
      <c r="D27" s="71">
        <f>D22</f>
        <v/>
      </c>
      <c r="E27" s="71">
        <f>E22</f>
        <v/>
      </c>
      <c r="F27" s="71">
        <f>F22</f>
        <v/>
      </c>
      <c r="G27" s="71">
        <f>G22</f>
        <v/>
      </c>
      <c r="H27" s="71">
        <f>H22</f>
        <v/>
      </c>
      <c r="I27" s="71">
        <f>I22</f>
        <v/>
      </c>
      <c r="J27" s="71">
        <f>J22</f>
        <v/>
      </c>
      <c r="K27" s="71">
        <f>K22</f>
        <v/>
      </c>
      <c r="L27" s="71">
        <f>L22</f>
        <v/>
      </c>
      <c r="M27" s="71">
        <f>M22</f>
        <v/>
      </c>
    </row>
    <row r="28" ht="15" customHeight="1" s="262">
      <c r="B28" s="66" t="inlineStr">
        <is>
          <t>Capital Returned ($)</t>
        </is>
      </c>
      <c r="D28" s="71">
        <f>MIN(D27,$C$6)</f>
        <v/>
      </c>
      <c r="E28" s="71">
        <f>MIN(E27,$C$6)</f>
        <v/>
      </c>
      <c r="F28" s="71">
        <f>MIN(F27,$C$6)</f>
        <v/>
      </c>
      <c r="G28" s="71">
        <f>MIN(G27,$C$6)</f>
        <v/>
      </c>
      <c r="H28" s="71">
        <f>MIN(H27,$C$6)</f>
        <v/>
      </c>
      <c r="I28" s="71">
        <f>MIN(I27,$C$6)</f>
        <v/>
      </c>
      <c r="J28" s="71">
        <f>MIN(J27,$C$6)</f>
        <v/>
      </c>
      <c r="K28" s="71">
        <f>MIN(K27,$C$6)</f>
        <v/>
      </c>
      <c r="L28" s="71">
        <f>MIN(L27,$C$6)</f>
        <v/>
      </c>
      <c r="M28" s="71">
        <f>MIN(M27,$C$6)</f>
        <v/>
      </c>
    </row>
    <row r="29" ht="15" customHeight="1" s="262">
      <c r="B29" s="66" t="inlineStr">
        <is>
          <t>Capital Returned (%)</t>
        </is>
      </c>
      <c r="D29" s="90">
        <f>D28/$C$6</f>
        <v/>
      </c>
      <c r="E29" s="90">
        <f>E28/$C$6</f>
        <v/>
      </c>
      <c r="F29" s="90">
        <f>F28/$C$6</f>
        <v/>
      </c>
      <c r="G29" s="90">
        <f>G28/$C$6</f>
        <v/>
      </c>
      <c r="H29" s="90">
        <f>H28/$C$6</f>
        <v/>
      </c>
      <c r="I29" s="90">
        <f>I28/$C$6</f>
        <v/>
      </c>
      <c r="J29" s="90">
        <f>J28/$C$6</f>
        <v/>
      </c>
      <c r="K29" s="90">
        <f>K28/$C$6</f>
        <v/>
      </c>
      <c r="L29" s="90">
        <f>L28/$C$6</f>
        <v/>
      </c>
      <c r="M29" s="90">
        <f>M28/$C$6</f>
        <v/>
      </c>
    </row>
    <row r="30" ht="15" customHeight="1" s="262">
      <c r="B30" s="66" t="inlineStr">
        <is>
          <t>Capital Outstanding ($)</t>
        </is>
      </c>
      <c r="D30" s="71">
        <f>MAX($C$6-D27,0)</f>
        <v/>
      </c>
      <c r="E30" s="71">
        <f>MAX($C$6-E27,0)</f>
        <v/>
      </c>
      <c r="F30" s="71">
        <f>MAX($C$6-F27,0)</f>
        <v/>
      </c>
      <c r="G30" s="71">
        <f>MAX($C$6-G27,0)</f>
        <v/>
      </c>
      <c r="H30" s="71">
        <f>MAX($C$6-H27,0)</f>
        <v/>
      </c>
      <c r="I30" s="71">
        <f>MAX($C$6-I27,0)</f>
        <v/>
      </c>
      <c r="J30" s="71">
        <f>MAX($C$6-J27,0)</f>
        <v/>
      </c>
      <c r="K30" s="71">
        <f>MAX($C$6-K27,0)</f>
        <v/>
      </c>
      <c r="L30" s="71">
        <f>MAX($C$6-L27,0)</f>
        <v/>
      </c>
      <c r="M30" s="71">
        <f>MAX($C$6-M27,0)</f>
        <v/>
      </c>
    </row>
    <row r="31" ht="15" customHeight="1" s="262">
      <c r="B31" s="66" t="inlineStr">
        <is>
          <t>LP Cash-on-Cash (%)</t>
        </is>
      </c>
      <c r="D31" s="90">
        <f>D26/$C$6</f>
        <v/>
      </c>
      <c r="E31" s="90">
        <f>E26/$C$6</f>
        <v/>
      </c>
      <c r="F31" s="90">
        <f>F26/$C$6</f>
        <v/>
      </c>
      <c r="G31" s="90">
        <f>G26/$C$6</f>
        <v/>
      </c>
      <c r="H31" s="90">
        <f>H26/$C$6</f>
        <v/>
      </c>
      <c r="I31" s="90">
        <f>I26/$C$6</f>
        <v/>
      </c>
      <c r="J31" s="90">
        <f>J26/$C$6</f>
        <v/>
      </c>
      <c r="K31" s="90">
        <f>K26/$C$6</f>
        <v/>
      </c>
      <c r="L31" s="90">
        <f>L26/$C$6</f>
        <v/>
      </c>
      <c r="M31" s="90">
        <f>M26/$C$6</f>
        <v/>
      </c>
    </row>
    <row r="32" ht="15" customHeight="1" s="262">
      <c r="B32" s="63" t="n"/>
    </row>
    <row r="33" ht="15" customHeight="1" s="262">
      <c r="B33" s="63" t="inlineStr">
        <is>
          <t>LAND SALE EXIT WATERFALL</t>
        </is>
      </c>
    </row>
    <row r="34" ht="15" customHeight="1" s="262">
      <c r="B34" s="66" t="inlineStr">
        <is>
          <t>Net Sale Proceeds</t>
        </is>
      </c>
      <c r="C34" s="100">
        <f>'Land Sale to MF Developer'!C33</f>
        <v/>
      </c>
    </row>
    <row r="35" ht="15" customHeight="1" s="262">
      <c r="B35" s="66" t="inlineStr">
        <is>
          <t>Cumulative Operating Distributions</t>
        </is>
      </c>
      <c r="C35" s="71">
        <f>M22</f>
        <v/>
      </c>
    </row>
    <row r="36" ht="15" customHeight="1" s="262">
      <c r="B36" s="63" t="inlineStr">
        <is>
          <t>Total Value Created</t>
        </is>
      </c>
      <c r="C36" s="80">
        <f>C34+C35</f>
        <v/>
      </c>
    </row>
    <row r="38" ht="15" customHeight="1" s="262">
      <c r="B38" s="66" t="inlineStr">
        <is>
          <t>Tier 1: Return of Capital</t>
        </is>
      </c>
      <c r="C38" s="71">
        <f>MIN(C36,$C$6)</f>
        <v/>
      </c>
    </row>
    <row r="39" ht="15" customHeight="1" s="262">
      <c r="B39" s="66" t="inlineStr">
        <is>
          <t>Tier 2: Preferred Return</t>
        </is>
      </c>
      <c r="C39" s="71">
        <f>MIN(MAX(C36-$C$6,0),$C$6*($C$10-1))</f>
        <v/>
      </c>
    </row>
    <row r="40" ht="15" customHeight="1" s="262">
      <c r="B40" s="66" t="inlineStr">
        <is>
          <t>Tier 3: LP Profit Share (80%)</t>
        </is>
      </c>
      <c r="C40" s="71">
        <f>MAX(C36-$C$11,0)*$C$12</f>
        <v/>
      </c>
    </row>
    <row r="41" ht="15" customHeight="1" s="262">
      <c r="B41" s="66" t="inlineStr">
        <is>
          <t>Tier 3: GP Promote (20%)</t>
        </is>
      </c>
      <c r="C41" s="71">
        <f>MAX(C36-$C$11,0)*$C$13</f>
        <v/>
      </c>
    </row>
    <row r="42" ht="15" customHeight="1" s="262">
      <c r="B42" s="63" t="inlineStr">
        <is>
          <t>Total LP Distributions</t>
        </is>
      </c>
      <c r="C42" s="80">
        <f>C38+C39+C40</f>
        <v/>
      </c>
    </row>
    <row r="43" ht="15" customHeight="1" s="262">
      <c r="B43" s="63" t="inlineStr">
        <is>
          <t>Total GP Promote</t>
        </is>
      </c>
      <c r="C43" s="80">
        <f>C41</f>
        <v/>
      </c>
    </row>
    <row r="45" ht="15" customHeight="1" s="262">
      <c r="B45" s="63" t="inlineStr">
        <is>
          <t>LP CASH FLOWS</t>
        </is>
      </c>
    </row>
    <row r="46" ht="15" customHeight="1" s="262">
      <c r="C46" s="95" t="inlineStr">
        <is>
          <t>Year 0</t>
        </is>
      </c>
      <c r="D46" s="95" t="inlineStr">
        <is>
          <t>Year 1</t>
        </is>
      </c>
      <c r="E46" s="95" t="inlineStr">
        <is>
          <t>Year 2</t>
        </is>
      </c>
      <c r="F46" s="95" t="inlineStr">
        <is>
          <t>Year 3</t>
        </is>
      </c>
      <c r="G46" s="95" t="inlineStr">
        <is>
          <t>Year 4</t>
        </is>
      </c>
      <c r="H46" s="95" t="inlineStr">
        <is>
          <t>Year 5</t>
        </is>
      </c>
      <c r="I46" s="95" t="inlineStr">
        <is>
          <t>Year 6</t>
        </is>
      </c>
      <c r="J46" s="95" t="inlineStr">
        <is>
          <t>Year 7</t>
        </is>
      </c>
      <c r="K46" s="95" t="inlineStr">
        <is>
          <t>Year 8</t>
        </is>
      </c>
      <c r="L46" s="95" t="inlineStr">
        <is>
          <t>Year 9</t>
        </is>
      </c>
      <c r="M46" s="95" t="inlineStr">
        <is>
          <t>Year 10</t>
        </is>
      </c>
    </row>
    <row r="47" ht="15" customHeight="1" s="262">
      <c r="B47" s="66" t="inlineStr">
        <is>
          <t>LP Operating Distribution</t>
        </is>
      </c>
      <c r="D47" s="71">
        <f>D19</f>
        <v/>
      </c>
      <c r="E47" s="71">
        <f>E19</f>
        <v/>
      </c>
      <c r="F47" s="71">
        <f>F19</f>
        <v/>
      </c>
      <c r="G47" s="71">
        <f>G19</f>
        <v/>
      </c>
      <c r="H47" s="71">
        <f>H19</f>
        <v/>
      </c>
      <c r="I47" s="71">
        <f>I19</f>
        <v/>
      </c>
      <c r="J47" s="71">
        <f>J19</f>
        <v/>
      </c>
      <c r="K47" s="71">
        <f>K19</f>
        <v/>
      </c>
      <c r="L47" s="71">
        <f>L19</f>
        <v/>
      </c>
      <c r="M47" s="71">
        <f>M19</f>
        <v/>
      </c>
    </row>
    <row r="48" ht="15" customHeight="1" s="262">
      <c r="B48" s="66" t="inlineStr">
        <is>
          <t>LP Refi Cash-Out</t>
        </is>
      </c>
      <c r="D48" s="71">
        <f>D20</f>
        <v/>
      </c>
      <c r="E48" s="71">
        <f>E20</f>
        <v/>
      </c>
      <c r="F48" s="71">
        <f>F20</f>
        <v/>
      </c>
      <c r="G48" s="71">
        <f>G20</f>
        <v/>
      </c>
      <c r="H48" s="71">
        <f>H20</f>
        <v/>
      </c>
      <c r="I48" s="71">
        <f>I20</f>
        <v/>
      </c>
      <c r="J48" s="71">
        <f>J20</f>
        <v/>
      </c>
      <c r="K48" s="71">
        <f>K20</f>
        <v/>
      </c>
      <c r="L48" s="71">
        <f>L20</f>
        <v/>
      </c>
      <c r="M48" s="71">
        <f>M20</f>
        <v/>
      </c>
    </row>
    <row r="49" ht="15" customHeight="1" s="262">
      <c r="B49" s="66" t="inlineStr">
        <is>
          <t>LP Sale Proceeds (Yr 10)</t>
        </is>
      </c>
      <c r="D49" s="71" t="n">
        <v>0</v>
      </c>
      <c r="E49" s="71" t="n">
        <v>0</v>
      </c>
      <c r="F49" s="71" t="n">
        <v>0</v>
      </c>
      <c r="G49" s="71" t="n">
        <v>0</v>
      </c>
      <c r="H49" s="71" t="n">
        <v>0</v>
      </c>
      <c r="I49" s="71" t="n">
        <v>0</v>
      </c>
      <c r="J49" s="71" t="n">
        <v>0</v>
      </c>
      <c r="K49" s="71" t="n">
        <v>0</v>
      </c>
      <c r="L49" s="71" t="n">
        <v>0</v>
      </c>
      <c r="M49" s="71">
        <f>C42-M22</f>
        <v/>
      </c>
    </row>
    <row r="50" ht="15" customHeight="1" s="262">
      <c r="B50" s="63" t="inlineStr">
        <is>
          <t>LP Total Cash Flow</t>
        </is>
      </c>
      <c r="C50" s="80">
        <f>-$C$6</f>
        <v/>
      </c>
      <c r="D50" s="80">
        <f>D47+D48+D49</f>
        <v/>
      </c>
      <c r="E50" s="80">
        <f>E47+E48+E49</f>
        <v/>
      </c>
      <c r="F50" s="80">
        <f>F47+F48+F49</f>
        <v/>
      </c>
      <c r="G50" s="80">
        <f>G47+G48+G49</f>
        <v/>
      </c>
      <c r="H50" s="80">
        <f>H47+H48+H49</f>
        <v/>
      </c>
      <c r="I50" s="80">
        <f>I47+I48+I49</f>
        <v/>
      </c>
      <c r="J50" s="80">
        <f>J47+J48+J49</f>
        <v/>
      </c>
      <c r="K50" s="80">
        <f>K47+K48+K49</f>
        <v/>
      </c>
      <c r="L50" s="80">
        <f>L47+L48+L49</f>
        <v/>
      </c>
      <c r="M50" s="80">
        <f>M47+M48+M49</f>
        <v/>
      </c>
    </row>
    <row r="52" ht="15" customHeight="1" s="262">
      <c r="B52" s="63" t="inlineStr">
        <is>
          <t>LP IRR</t>
        </is>
      </c>
      <c r="C52" s="106">
        <f>IRR(C50:M50)</f>
        <v/>
      </c>
    </row>
    <row r="53" ht="15" customHeight="1" s="262">
      <c r="B53" s="63" t="inlineStr">
        <is>
          <t>LP Equity Multiple</t>
        </is>
      </c>
      <c r="C53" s="89">
        <f>SUM(D50:M50)/(-C50)</f>
        <v/>
      </c>
    </row>
    <row r="54" ht="15" customHeight="1" s="262">
      <c r="B54" s="63" t="inlineStr">
        <is>
          <t>LP Avg Cash-on-Cash</t>
        </is>
      </c>
      <c r="C54" s="106">
        <f>AVERAGE(D21:M21)/$C$6</f>
        <v/>
      </c>
    </row>
    <row r="56" ht="17.25" customHeight="1" s="262">
      <c r="B56" s="63" t="inlineStr">
        <is>
          <t>SUMMARY</t>
        </is>
      </c>
    </row>
    <row r="57" ht="15" customHeight="1" s="262">
      <c r="C57" s="95" t="inlineStr">
        <is>
          <t>Land Sale Exit</t>
        </is>
      </c>
      <c r="D57" s="95" t="n"/>
    </row>
    <row r="58" ht="15" customHeight="1" s="262">
      <c r="B58" s="66" t="inlineStr">
        <is>
          <t>Project IRR</t>
        </is>
      </c>
      <c r="C58" s="112">
        <f>'Land Sale to MF Developer'!C44</f>
        <v/>
      </c>
      <c r="D58" s="112" t="n"/>
    </row>
    <row r="59" ht="15" customHeight="1" s="262">
      <c r="B59" s="66" t="inlineStr">
        <is>
          <t>LP IRR</t>
        </is>
      </c>
      <c r="C59" s="90">
        <f>C52</f>
        <v/>
      </c>
      <c r="D59" s="90" t="n"/>
    </row>
    <row r="60" ht="15" customHeight="1" s="262">
      <c r="B60" s="66" t="inlineStr">
        <is>
          <t>LP Equity Multiple</t>
        </is>
      </c>
      <c r="C60" s="113">
        <f>C53</f>
        <v/>
      </c>
      <c r="D60" s="113" t="n"/>
    </row>
    <row r="61" ht="15" customHeight="1" s="262">
      <c r="B61" s="66" t="inlineStr">
        <is>
          <t>LP Avg Cash-on-Cash</t>
        </is>
      </c>
      <c r="C61" s="90">
        <f>C54</f>
        <v/>
      </c>
      <c r="D61" s="90" t="n"/>
    </row>
    <row r="62" ht="15" customHeight="1" s="262">
      <c r="B62" s="66" t="inlineStr">
        <is>
          <t>GP Promote ($)</t>
        </is>
      </c>
      <c r="C62" s="71">
        <f>C43</f>
        <v/>
      </c>
      <c r="D62" s="71" t="n"/>
    </row>
  </sheetData>
  <pageMargins left="0.75" right="0.75" top="1" bottom="1" header="0.511811023622047" footer="0.511811023622047"/>
  <pageSetup orientation="portrait" paperSize="9" horizontalDpi="300" verticalDpi="300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J56"/>
  <sheetViews>
    <sheetView showGridLines="0" workbookViewId="0">
      <selection activeCell="A1" sqref="A1:J1"/>
    </sheetView>
  </sheetViews>
  <sheetFormatPr baseColWidth="10" defaultColWidth="8.83203125" defaultRowHeight="15"/>
  <cols>
    <col width="3" customWidth="1" style="262" min="1" max="1"/>
    <col width="42" customWidth="1" style="262" min="2" max="2"/>
    <col width="20" customWidth="1" style="262" min="3" max="3"/>
    <col width="4" customWidth="1" style="262" min="4" max="4"/>
    <col width="42" customWidth="1" style="262" min="5" max="5"/>
    <col width="20" customWidth="1" style="262" min="6" max="6"/>
    <col width="10" bestFit="1" customWidth="1" style="262" min="7" max="7"/>
    <col width="20" customWidth="1" style="262" min="8" max="10"/>
  </cols>
  <sheetData>
    <row r="1" ht="36" customHeight="1" s="262">
      <c r="A1" s="261" t="inlineStr">
        <is>
          <t>SHOPPES AT SAN FELIPE — TAX CASE STUDY</t>
        </is>
      </c>
    </row>
    <row r="2" ht="20" customHeight="1" s="262">
      <c r="A2" s="264" t="inlineStr">
        <is>
          <t>Illustrative after-tax economics for an LP. Toggle the yellow inputs to re-run the model.</t>
        </is>
      </c>
    </row>
    <row r="4">
      <c r="B4" s="122" t="inlineStr">
        <is>
          <t>§ 01 · INVESTOR INPUT</t>
        </is>
      </c>
      <c r="E4" s="123" t="inlineStr">
        <is>
          <t>§ 04 · HEADLINE OUTPUTS</t>
        </is>
      </c>
    </row>
    <row r="5">
      <c r="B5" s="124" t="inlineStr">
        <is>
          <t>Toggle this cell →</t>
        </is>
      </c>
    </row>
    <row r="6" ht="16" customHeight="1" s="262">
      <c r="B6" s="125" t="inlineStr">
        <is>
          <t>LP Investment Amount</t>
        </is>
      </c>
      <c r="C6" s="126" t="n">
        <v>1000000</v>
      </c>
      <c r="E6" t="inlineStr">
        <is>
          <t>LP Share of Deal</t>
        </is>
      </c>
      <c r="F6" s="127">
        <f>C6/'Tax Constants'!$C$3</f>
        <v/>
      </c>
    </row>
    <row r="8">
      <c r="B8" s="123" t="inlineStr">
        <is>
          <t>§ 02 · TAX ASSUMPTIONS</t>
        </is>
      </c>
      <c r="E8" s="128" t="inlineStr">
        <is>
          <t>PRE-TAX</t>
        </is>
      </c>
    </row>
    <row r="9">
      <c r="B9" s="129" t="inlineStr">
        <is>
          <t>Federal Ordinary Rate</t>
        </is>
      </c>
      <c r="C9" s="130" t="n">
        <v>0.37</v>
      </c>
      <c r="E9" s="129" t="inlineStr">
        <is>
          <t>Total Pre-Tax Distributions</t>
        </is>
      </c>
      <c r="F9" s="131">
        <f>'Tax Model'!C28*C6/13000000</f>
        <v/>
      </c>
    </row>
    <row r="10">
      <c r="B10" s="129" t="inlineStr">
        <is>
          <t>NIIT</t>
        </is>
      </c>
      <c r="C10" s="130" t="n">
        <v>0.038</v>
      </c>
      <c r="E10" s="129" t="inlineStr">
        <is>
          <t>Equity Multiple</t>
        </is>
      </c>
      <c r="F10" s="132">
        <f>'Tax Model'!C28/13000000</f>
        <v/>
      </c>
    </row>
    <row r="11">
      <c r="B11" s="129" t="inlineStr">
        <is>
          <t>Federal LTCG Rate</t>
        </is>
      </c>
      <c r="C11" s="130" t="n">
        <v>0.2</v>
      </c>
      <c r="E11" s="129" t="inlineStr">
        <is>
          <t>LP IRR</t>
        </is>
      </c>
      <c r="F11" s="133">
        <f>'Tax Model'!C29</f>
        <v/>
      </c>
    </row>
    <row r="12">
      <c r="B12" s="129" t="inlineStr">
        <is>
          <t>§1250 Recapture Rate</t>
        </is>
      </c>
      <c r="C12" s="130" t="n">
        <v>0.25</v>
      </c>
    </row>
    <row r="13">
      <c r="B13" s="129" t="inlineStr">
        <is>
          <t>State Income Tax (TX = 0%)</t>
        </is>
      </c>
      <c r="C13" s="130" t="n">
        <v>0</v>
      </c>
      <c r="E13" s="128" t="inlineStr">
        <is>
          <t>AFTER-TAX</t>
        </is>
      </c>
    </row>
    <row r="14">
      <c r="B14" s="129" t="inlineStr">
        <is>
          <t>Passive Losses Usable? (1=Yes, 0=No)</t>
        </is>
      </c>
      <c r="C14" s="134" t="n">
        <v>1</v>
      </c>
      <c r="E14" s="129" t="inlineStr">
        <is>
          <t>Total After-Tax Distributions</t>
        </is>
      </c>
      <c r="F14" s="135">
        <f>'Tax Model'!C30</f>
        <v/>
      </c>
    </row>
    <row r="15">
      <c r="E15" s="129" t="inlineStr">
        <is>
          <t>Cumulative Tax Paid</t>
        </is>
      </c>
      <c r="F15" s="135">
        <f>'Tax Model'!C31</f>
        <v/>
      </c>
    </row>
    <row r="16">
      <c r="B16" s="123" t="inlineStr">
        <is>
          <t>§ 03 · DEPRECIATION INPUTS</t>
        </is>
      </c>
      <c r="E16" s="129" t="inlineStr">
        <is>
          <t>After-Tax Equity Multiple</t>
        </is>
      </c>
      <c r="F16" s="136">
        <f>'Tax Model'!C30/C6</f>
        <v/>
      </c>
    </row>
    <row r="17">
      <c r="B17" s="129" t="inlineStr">
        <is>
          <t>Improvements % of Total Basis</t>
        </is>
      </c>
      <c r="C17" s="137" t="n">
        <v>0.65</v>
      </c>
      <c r="E17" s="129" t="inlineStr">
        <is>
          <t>After-Tax LP IRR</t>
        </is>
      </c>
      <c r="F17" s="138">
        <f>'Tax Model'!C32</f>
        <v/>
      </c>
    </row>
    <row r="18">
      <c r="B18" s="129" t="inlineStr">
        <is>
          <t>Cost Seg Short-Life %</t>
        </is>
      </c>
      <c r="C18" s="137" t="n">
        <v>0.22</v>
      </c>
    </row>
    <row r="19">
      <c r="B19" s="129" t="inlineStr">
        <is>
          <t>Bonus Depreciation (Year 1)</t>
        </is>
      </c>
      <c r="C19" s="137" t="n">
        <v>1</v>
      </c>
      <c r="E19" s="123" t="inlineStr">
        <is>
          <t>§ 05 · WITH vs WITHOUT TAX SHELTER</t>
        </is>
      </c>
    </row>
    <row r="20">
      <c r="E20" s="124" t="inlineStr">
        <is>
          <t>This deal vs. two alternatives: ROC-first (conservative) &amp; Corp Bond (aggressive).</t>
        </is>
      </c>
    </row>
    <row r="21">
      <c r="F21" s="139" t="inlineStr">
        <is>
          <t>With Shelter</t>
        </is>
      </c>
      <c r="G21" s="139" t="inlineStr">
        <is>
          <t>ROC-First Alt</t>
        </is>
      </c>
      <c r="H21" s="139" t="inlineStr">
        <is>
          <t>Corp Bond Alt</t>
        </is>
      </c>
    </row>
    <row r="22">
      <c r="E22" s="129" t="inlineStr">
        <is>
          <t>Total After-Tax Distributions</t>
        </is>
      </c>
      <c r="F22" s="135">
        <f>'Tax Model'!C30</f>
        <v/>
      </c>
      <c r="G22" s="140">
        <f>'Tax Model'!C43</f>
        <v/>
      </c>
      <c r="H22" s="140">
        <f>'Tax Model'!C52</f>
        <v/>
      </c>
    </row>
    <row r="23">
      <c r="E23" s="129" t="inlineStr">
        <is>
          <t>After-Tax IRR</t>
        </is>
      </c>
      <c r="F23" s="138">
        <f>'Tax Model'!C32</f>
        <v/>
      </c>
      <c r="G23" s="141">
        <f>'Tax Model'!C44</f>
        <v/>
      </c>
      <c r="H23" s="141">
        <f>'Tax Model'!C53</f>
        <v/>
      </c>
    </row>
    <row r="25">
      <c r="E25" s="142" t="inlineStr">
        <is>
          <t>Savings vs ROC-First (conservative):</t>
        </is>
      </c>
      <c r="F25" s="143">
        <f>'Tax Model'!C45</f>
        <v/>
      </c>
      <c r="G25" s="144">
        <f>'Tax Model'!C46</f>
        <v/>
      </c>
    </row>
    <row r="26">
      <c r="E26" s="142" t="inlineStr">
        <is>
          <t>Savings vs Corp Bond (aggressive):</t>
        </is>
      </c>
      <c r="F26" s="143">
        <f>'Tax Model'!C54</f>
        <v/>
      </c>
      <c r="G26" s="144">
        <f>'Tax Model'!C55</f>
        <v/>
      </c>
    </row>
    <row r="28">
      <c r="E28" s="145" t="inlineStr">
        <is>
          <t>Savings build-up — tax paid by phase:</t>
        </is>
      </c>
    </row>
    <row r="29">
      <c r="F29" s="139" t="inlineStr">
        <is>
          <t>With</t>
        </is>
      </c>
      <c r="G29" s="139" t="inlineStr">
        <is>
          <t>Without</t>
        </is>
      </c>
      <c r="H29" s="139" t="inlineStr">
        <is>
          <t>Savings</t>
        </is>
      </c>
    </row>
    <row r="30">
      <c r="E30" s="129" t="inlineStr">
        <is>
          <t xml:space="preserve">  Year 1 depreciation shield</t>
        </is>
      </c>
      <c r="F30" s="140">
        <f>'Tax Model'!D12</f>
        <v/>
      </c>
      <c r="G30" s="140">
        <f>'Tax Model'!D40</f>
        <v/>
      </c>
      <c r="H30" s="140">
        <f>G30-F30</f>
        <v/>
      </c>
    </row>
    <row r="31">
      <c r="E31" s="129" t="inlineStr">
        <is>
          <t xml:space="preserve">  Years 2–9 operating</t>
        </is>
      </c>
      <c r="F31" s="140">
        <f>SUM('Tax Model'!E12:L12)</f>
        <v/>
      </c>
      <c r="G31" s="140">
        <f>SUM('Tax Model'!E40:L40)</f>
        <v/>
      </c>
      <c r="H31" s="140">
        <f>G31-F31</f>
        <v/>
      </c>
    </row>
    <row r="32">
      <c r="E32" s="129" t="inlineStr">
        <is>
          <t xml:space="preserve">  Year 10 (operating + exit)</t>
        </is>
      </c>
      <c r="F32" s="140">
        <f>'Tax Model'!M12 + 'Tax Model'!M24</f>
        <v/>
      </c>
      <c r="G32" s="140">
        <f>'Tax Model'!M40</f>
        <v/>
      </c>
      <c r="H32" s="140">
        <f>G32-F32</f>
        <v/>
      </c>
    </row>
    <row r="33">
      <c r="E33" s="142" t="inlineStr">
        <is>
          <t xml:space="preserve">  Total tax paid</t>
        </is>
      </c>
      <c r="F33" s="146">
        <f>SUM(F30:F32)</f>
        <v/>
      </c>
      <c r="G33" s="146">
        <f>SUM(G30:G32)</f>
        <v/>
      </c>
      <c r="H33" s="147">
        <f>SUM(H30:H32)</f>
        <v/>
      </c>
    </row>
    <row r="35">
      <c r="E35" s="128" t="inlineStr">
        <is>
          <t>TAX BREAKDOWN — WHERE THE SAVINGS ARE</t>
        </is>
      </c>
    </row>
    <row r="36">
      <c r="E36" s="129" t="inlineStr">
        <is>
          <t>Year 1 Depreciation Shield (savings)</t>
        </is>
      </c>
      <c r="F36" s="143">
        <f>-MIN(0, 'Tax Model'!D12)</f>
        <v/>
      </c>
    </row>
    <row r="37">
      <c r="E37" s="129" t="inlineStr">
        <is>
          <t>Year 1 Tax Paid (if any)</t>
        </is>
      </c>
      <c r="F37" s="140">
        <f>MAX(0, 'Tax Model'!D12)</f>
        <v/>
      </c>
    </row>
    <row r="38">
      <c r="E38" s="129" t="inlineStr">
        <is>
          <t>Years 2–10 Operating Tax</t>
        </is>
      </c>
      <c r="F38" s="140">
        <f>SUM('Tax Model'!E12:M12)</f>
        <v/>
      </c>
    </row>
    <row r="39">
      <c r="E39" s="129" t="inlineStr">
        <is>
          <t>Year 10 Exit Tax — §1250 Recapture</t>
        </is>
      </c>
      <c r="F39" s="140">
        <f>'Tax Model'!M22</f>
        <v/>
      </c>
    </row>
    <row r="40">
      <c r="E40" s="129" t="inlineStr">
        <is>
          <t>Year 10 Exit Tax — LTCG on Appreciation</t>
        </is>
      </c>
      <c r="F40" s="140">
        <f>'Tax Model'!M23</f>
        <v/>
      </c>
    </row>
    <row r="41">
      <c r="E41" s="129" t="inlineStr">
        <is>
          <t>Net Cumulative Tax (Dashboard!F15 above)</t>
        </is>
      </c>
      <c r="F41" s="140">
        <f>'Tax Model'!C31</f>
        <v/>
      </c>
    </row>
    <row r="43">
      <c r="E43" s="128" t="inlineStr">
        <is>
          <t>TAX-ALPHA BENCHMARK</t>
        </is>
      </c>
    </row>
    <row r="44">
      <c r="E44" t="inlineStr">
        <is>
          <t>Bonds Equivalent (same IRR, ordinary)</t>
        </is>
      </c>
      <c r="F44" s="148">
        <f>'Tax Model'!C29*(1-(C9+C10+C13))</f>
        <v/>
      </c>
    </row>
    <row r="45">
      <c r="E45" t="inlineStr">
        <is>
          <t>Equities Equivalent (same IRR, LTCG)</t>
        </is>
      </c>
      <c r="F45" s="148">
        <f>'Tax Model'!C29*(1-(C11+C10+C13))</f>
        <v/>
      </c>
    </row>
    <row r="46">
      <c r="E46" t="inlineStr">
        <is>
          <t>This Deal (After-Tax)</t>
        </is>
      </c>
      <c r="F46" s="149">
        <f>'Tax Model'!C32</f>
        <v/>
      </c>
    </row>
    <row r="47">
      <c r="E47" t="inlineStr">
        <is>
          <t>Tax Alpha (vs bonds, bps)</t>
        </is>
      </c>
      <c r="F47" s="150">
        <f>('Tax Model'!C32 - 'Tax Model'!C29*(1-(C9+C10+C13)))*10000</f>
        <v/>
      </c>
    </row>
    <row r="51">
      <c r="B51" s="263" t="inlineStr">
        <is>
          <t>ILLUSTRATIVE — NOT TAX ADVICE. Tax projections depend on the investor's specific tax profile, passive-loss availability, entity-level basis position, and stability of federal tax law. The model assumes the investor has sufficient passive income to absorb allocated Year-1 losses when the "Passive Losses Usable" toggle is set to Yes. Cost segregation percentages, bonus depreciation eligibility, and partnership allocations are subject to substantiation. Bonus % defaults to 100% per current OBBBA-era law. Consult your tax advisor before investing.</t>
        </is>
      </c>
    </row>
    <row r="52"/>
    <row r="53"/>
    <row r="54"/>
    <row r="55"/>
    <row r="56"/>
  </sheetData>
  <mergeCells count="3">
    <mergeCell ref="A1:J1"/>
    <mergeCell ref="B51:I56"/>
    <mergeCell ref="A2:J2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B1:M55"/>
  <sheetViews>
    <sheetView showGridLines="0" workbookViewId="0">
      <selection activeCell="A1" sqref="A1"/>
    </sheetView>
  </sheetViews>
  <sheetFormatPr baseColWidth="10" defaultColWidth="8.83203125" defaultRowHeight="15"/>
  <cols>
    <col width="3" customWidth="1" style="262" min="1" max="1"/>
    <col width="40" customWidth="1" style="262" min="2" max="2"/>
    <col width="14" customWidth="1" style="262" min="3" max="13"/>
  </cols>
  <sheetData>
    <row r="1" ht="28" customHeight="1" s="262">
      <c r="B1" s="265" t="inlineStr">
        <is>
          <t>TAX CASE STUDY — YEAR-BY-YEAR ENGINE</t>
        </is>
      </c>
    </row>
    <row r="3">
      <c r="B3" s="151" t="inlineStr">
        <is>
          <t>Period</t>
        </is>
      </c>
      <c r="C3" s="152" t="inlineStr">
        <is>
          <t>Y0</t>
        </is>
      </c>
      <c r="D3" s="152" t="inlineStr">
        <is>
          <t>Y1</t>
        </is>
      </c>
      <c r="E3" s="152" t="inlineStr">
        <is>
          <t>Y2</t>
        </is>
      </c>
      <c r="F3" s="152" t="inlineStr">
        <is>
          <t>Y3</t>
        </is>
      </c>
      <c r="G3" s="152" t="inlineStr">
        <is>
          <t>Y4</t>
        </is>
      </c>
      <c r="H3" s="152" t="inlineStr">
        <is>
          <t>Y5</t>
        </is>
      </c>
      <c r="I3" s="152" t="inlineStr">
        <is>
          <t>Y6</t>
        </is>
      </c>
      <c r="J3" s="152" t="inlineStr">
        <is>
          <t>Y7</t>
        </is>
      </c>
      <c r="K3" s="152" t="inlineStr">
        <is>
          <t>Y8</t>
        </is>
      </c>
      <c r="L3" s="152" t="inlineStr">
        <is>
          <t>Y9</t>
        </is>
      </c>
      <c r="M3" s="152" t="inlineStr">
        <is>
          <t>Y10</t>
        </is>
      </c>
    </row>
    <row r="5">
      <c r="B5" s="122" t="inlineStr">
        <is>
          <t>DEAL INPUTS (LP SHARE)</t>
        </is>
      </c>
    </row>
    <row r="6">
      <c r="B6" s="153" t="inlineStr">
        <is>
          <t>LP Share of NOI</t>
        </is>
      </c>
      <c r="D6" s="140">
        <f>('Tax Case Study'!C6/'Tax Constants'!$C$3)*'Tax Constants'!C26</f>
        <v/>
      </c>
      <c r="E6" s="140">
        <f>('Tax Case Study'!C6/'Tax Constants'!$C$3)*'Tax Constants'!C27</f>
        <v/>
      </c>
      <c r="F6" s="140">
        <f>('Tax Case Study'!C6/'Tax Constants'!$C$3)*'Tax Constants'!C28</f>
        <v/>
      </c>
      <c r="G6" s="140">
        <f>('Tax Case Study'!C6/'Tax Constants'!$C$3)*'Tax Constants'!C29</f>
        <v/>
      </c>
      <c r="H6" s="140">
        <f>('Tax Case Study'!C6/'Tax Constants'!$C$3)*'Tax Constants'!C30</f>
        <v/>
      </c>
      <c r="I6" s="140">
        <f>('Tax Case Study'!C6/'Tax Constants'!$C$3)*'Tax Constants'!C31</f>
        <v/>
      </c>
      <c r="J6" s="140">
        <f>('Tax Case Study'!C6/'Tax Constants'!$C$3)*'Tax Constants'!C32</f>
        <v/>
      </c>
      <c r="K6" s="140">
        <f>('Tax Case Study'!C6/'Tax Constants'!$C$3)*'Tax Constants'!C33</f>
        <v/>
      </c>
      <c r="L6" s="140">
        <f>('Tax Case Study'!C6/'Tax Constants'!$C$3)*'Tax Constants'!C34</f>
        <v/>
      </c>
      <c r="M6" s="140">
        <f>('Tax Case Study'!C6/'Tax Constants'!$C$3)*'Tax Constants'!C35</f>
        <v/>
      </c>
    </row>
    <row r="7">
      <c r="B7" s="153" t="inlineStr">
        <is>
          <t>LP Share of Interest</t>
        </is>
      </c>
      <c r="D7" s="140">
        <f>('Tax Case Study'!C6/'Tax Constants'!$C$3)*'Tax Constants'!E38</f>
        <v/>
      </c>
      <c r="E7" s="140">
        <f>('Tax Case Study'!C6/'Tax Constants'!$C$3)*'Tax Constants'!E39</f>
        <v/>
      </c>
      <c r="F7" s="140">
        <f>('Tax Case Study'!C6/'Tax Constants'!$C$3)*'Tax Constants'!E40</f>
        <v/>
      </c>
      <c r="G7" s="140">
        <f>('Tax Case Study'!C6/'Tax Constants'!$C$3)*'Tax Constants'!E41</f>
        <v/>
      </c>
      <c r="H7" s="140">
        <f>('Tax Case Study'!C6/'Tax Constants'!$C$3)*'Tax Constants'!E42</f>
        <v/>
      </c>
      <c r="I7" s="140">
        <f>('Tax Case Study'!C6/'Tax Constants'!$C$3)*'Tax Constants'!E43</f>
        <v/>
      </c>
      <c r="J7" s="140">
        <f>('Tax Case Study'!C6/'Tax Constants'!$C$3)*'Tax Constants'!E44</f>
        <v/>
      </c>
      <c r="K7" s="140">
        <f>('Tax Case Study'!C6/'Tax Constants'!$C$3)*'Tax Constants'!E45</f>
        <v/>
      </c>
      <c r="L7" s="140">
        <f>('Tax Case Study'!C6/'Tax Constants'!$C$3)*'Tax Constants'!E46</f>
        <v/>
      </c>
      <c r="M7" s="140">
        <f>('Tax Case Study'!C6/'Tax Constants'!$C$3)*'Tax Constants'!E47</f>
        <v/>
      </c>
    </row>
    <row r="8">
      <c r="B8" s="153" t="inlineStr">
        <is>
          <t>LP Share of Depreciation</t>
        </is>
      </c>
      <c r="D8" s="140">
        <f>('Tax Case Study'!C6/'Tax Constants'!$C$3)*('Tax Constants'!$C$4*'Tax Case Study'!C17*'Tax Case Study'!C18*'Tax Case Study'!C19+'Tax Constants'!$C$4*'Tax Case Study'!C17*(1-'Tax Case Study'!C18)/'Tax Constants'!$C$23+'Tax Constants'!$C$4*'Tax Case Study'!C17*'Tax Case Study'!C18*(1-'Tax Case Study'!C19)/7)</f>
        <v/>
      </c>
      <c r="E8" s="140">
        <f>('Tax Case Study'!C6/'Tax Constants'!$C$3)*('Tax Constants'!$C$4*'Tax Case Study'!C17*(1-'Tax Case Study'!C18)/'Tax Constants'!$C$23+'Tax Constants'!$C$4*'Tax Case Study'!C17*'Tax Case Study'!C18*(1-'Tax Case Study'!C19)/7)</f>
        <v/>
      </c>
      <c r="F8" s="140">
        <f>('Tax Case Study'!C6/'Tax Constants'!$C$3)*('Tax Constants'!$C$4*'Tax Case Study'!C17*(1-'Tax Case Study'!C18)/'Tax Constants'!$C$23+'Tax Constants'!$C$4*'Tax Case Study'!C17*'Tax Case Study'!C18*(1-'Tax Case Study'!C19)/7)</f>
        <v/>
      </c>
      <c r="G8" s="140">
        <f>('Tax Case Study'!C6/'Tax Constants'!$C$3)*('Tax Constants'!$C$4*'Tax Case Study'!C17*(1-'Tax Case Study'!C18)/'Tax Constants'!$C$23+'Tax Constants'!$C$4*'Tax Case Study'!C17*'Tax Case Study'!C18*(1-'Tax Case Study'!C19)/7)</f>
        <v/>
      </c>
      <c r="H8" s="140">
        <f>('Tax Case Study'!C6/'Tax Constants'!$C$3)*('Tax Constants'!$C$4*'Tax Case Study'!C17*(1-'Tax Case Study'!C18)/'Tax Constants'!$C$23+'Tax Constants'!$C$4*'Tax Case Study'!C17*'Tax Case Study'!C18*(1-'Tax Case Study'!C19)/7)</f>
        <v/>
      </c>
      <c r="I8" s="140">
        <f>('Tax Case Study'!C6/'Tax Constants'!$C$3)*('Tax Constants'!$C$4*'Tax Case Study'!C17*(1-'Tax Case Study'!C18)/'Tax Constants'!$C$23+'Tax Constants'!$C$4*'Tax Case Study'!C17*'Tax Case Study'!C18*(1-'Tax Case Study'!C19)/7)</f>
        <v/>
      </c>
      <c r="J8" s="140">
        <f>('Tax Case Study'!C6/'Tax Constants'!$C$3)*('Tax Constants'!$C$4*'Tax Case Study'!C17*(1-'Tax Case Study'!C18)/'Tax Constants'!$C$23+'Tax Constants'!$C$4*'Tax Case Study'!C17*'Tax Case Study'!C18*(1-'Tax Case Study'!C19)/7)</f>
        <v/>
      </c>
      <c r="K8" s="140">
        <f>('Tax Case Study'!C6/'Tax Constants'!$C$3)*('Tax Constants'!$C$4*'Tax Case Study'!C17*(1-'Tax Case Study'!C18)/'Tax Constants'!$C$23)</f>
        <v/>
      </c>
      <c r="L8" s="140">
        <f>('Tax Case Study'!C6/'Tax Constants'!$C$3)*('Tax Constants'!$C$4*'Tax Case Study'!C17*(1-'Tax Case Study'!C18)/'Tax Constants'!$C$23)</f>
        <v/>
      </c>
      <c r="M8" s="140">
        <f>('Tax Case Study'!C6/'Tax Constants'!$C$3)*('Tax Constants'!$C$4*'Tax Case Study'!C17*(1-'Tax Case Study'!C18)/'Tax Constants'!$C$23)</f>
        <v/>
      </c>
    </row>
    <row r="10">
      <c r="B10" s="122" t="inlineStr">
        <is>
          <t>K-1 TAXABLE INCOME</t>
        </is>
      </c>
    </row>
    <row r="11">
      <c r="B11" s="153" t="inlineStr">
        <is>
          <t>Taxable Income (NOI − Interest − Dep)</t>
        </is>
      </c>
      <c r="D11" s="140">
        <f>D6-D7-D8</f>
        <v/>
      </c>
      <c r="E11" s="140">
        <f>E6-E7-E8</f>
        <v/>
      </c>
      <c r="F11" s="140">
        <f>F6-F7-F8</f>
        <v/>
      </c>
      <c r="G11" s="140">
        <f>G6-G7-G8</f>
        <v/>
      </c>
      <c r="H11" s="140">
        <f>H6-H7-H8</f>
        <v/>
      </c>
      <c r="I11" s="140">
        <f>I6-I7-I8</f>
        <v/>
      </c>
      <c r="J11" s="140">
        <f>J6-J7-J8</f>
        <v/>
      </c>
      <c r="K11" s="140">
        <f>K6-K7-K8</f>
        <v/>
      </c>
      <c r="L11" s="140">
        <f>L6-L7-L8</f>
        <v/>
      </c>
      <c r="M11" s="140">
        <f>M6-M7-M8</f>
        <v/>
      </c>
    </row>
    <row r="12">
      <c r="B12" s="153" t="inlineStr">
        <is>
          <t>Ordinary Tax on Operations</t>
        </is>
      </c>
      <c r="D12" s="140">
        <f>IF(D11&lt;0,IF('Tax Case Study'!C14=0,0,D11*('Tax Case Study'!C9+'Tax Case Study'!C10+'Tax Case Study'!C13)),D11*('Tax Case Study'!C9+'Tax Case Study'!C10+'Tax Case Study'!C13))</f>
        <v/>
      </c>
      <c r="E12" s="140">
        <f>IF(E11&lt;0,IF('Tax Case Study'!C14=0,0,E11*('Tax Case Study'!C9+'Tax Case Study'!C10+'Tax Case Study'!C13)),E11*('Tax Case Study'!C9+'Tax Case Study'!C10+'Tax Case Study'!C13))</f>
        <v/>
      </c>
      <c r="F12" s="140">
        <f>IF(F11&lt;0,IF('Tax Case Study'!C14=0,0,F11*('Tax Case Study'!C9+'Tax Case Study'!C10+'Tax Case Study'!C13)),F11*('Tax Case Study'!C9+'Tax Case Study'!C10+'Tax Case Study'!C13))</f>
        <v/>
      </c>
      <c r="G12" s="140">
        <f>IF(G11&lt;0,IF('Tax Case Study'!C14=0,0,G11*('Tax Case Study'!C9+'Tax Case Study'!C10+'Tax Case Study'!C13)),G11*('Tax Case Study'!C9+'Tax Case Study'!C10+'Tax Case Study'!C13))</f>
        <v/>
      </c>
      <c r="H12" s="140">
        <f>IF(H11&lt;0,IF('Tax Case Study'!C14=0,0,H11*('Tax Case Study'!C9+'Tax Case Study'!C10+'Tax Case Study'!C13)),H11*('Tax Case Study'!C9+'Tax Case Study'!C10+'Tax Case Study'!C13))</f>
        <v/>
      </c>
      <c r="I12" s="140">
        <f>IF(I11&lt;0,IF('Tax Case Study'!C14=0,0,I11*('Tax Case Study'!C9+'Tax Case Study'!C10+'Tax Case Study'!C13)),I11*('Tax Case Study'!C9+'Tax Case Study'!C10+'Tax Case Study'!C13))</f>
        <v/>
      </c>
      <c r="J12" s="140">
        <f>IF(J11&lt;0,IF('Tax Case Study'!C14=0,0,J11*('Tax Case Study'!C9+'Tax Case Study'!C10+'Tax Case Study'!C13)),J11*('Tax Case Study'!C9+'Tax Case Study'!C10+'Tax Case Study'!C13))</f>
        <v/>
      </c>
      <c r="K12" s="140">
        <f>IF(K11&lt;0,IF('Tax Case Study'!C14=0,0,K11*('Tax Case Study'!C9+'Tax Case Study'!C10+'Tax Case Study'!C13)),K11*('Tax Case Study'!C9+'Tax Case Study'!C10+'Tax Case Study'!C13))</f>
        <v/>
      </c>
      <c r="L12" s="140">
        <f>IF(L11&lt;0,IF('Tax Case Study'!C14=0,0,L11*('Tax Case Study'!C9+'Tax Case Study'!C10+'Tax Case Study'!C13)),L11*('Tax Case Study'!C9+'Tax Case Study'!C10+'Tax Case Study'!C13))</f>
        <v/>
      </c>
      <c r="M12" s="140">
        <f>IF(M11&lt;0,IF('Tax Case Study'!C14=0,0,M11*('Tax Case Study'!C9+'Tax Case Study'!C10+'Tax Case Study'!C13)),M11*('Tax Case Study'!C9+'Tax Case Study'!C10+'Tax Case Study'!C13))</f>
        <v/>
      </c>
    </row>
    <row r="14">
      <c r="B14" s="122" t="inlineStr">
        <is>
          <t>CASH FLOWS TO LP</t>
        </is>
      </c>
    </row>
    <row r="15">
      <c r="B15" s="154" t="inlineStr">
        <is>
          <t>Pre-Tax Cash Distribution</t>
        </is>
      </c>
      <c r="C15" s="155">
        <f>-'Tax Case Study'!C6</f>
        <v/>
      </c>
      <c r="D15" s="155">
        <f>('Tax Case Study'!C6/'Tax Constants'!$C$3)*'Tax Constants'!C50</f>
        <v/>
      </c>
      <c r="E15" s="155">
        <f>('Tax Case Study'!C6/'Tax Constants'!$C$3)*'Tax Constants'!C51</f>
        <v/>
      </c>
      <c r="F15" s="155">
        <f>('Tax Case Study'!C6/'Tax Constants'!$C$3)*'Tax Constants'!C52</f>
        <v/>
      </c>
      <c r="G15" s="155">
        <f>('Tax Case Study'!C6/'Tax Constants'!$C$3)*'Tax Constants'!C53</f>
        <v/>
      </c>
      <c r="H15" s="155">
        <f>('Tax Case Study'!C6/'Tax Constants'!$C$3)*'Tax Constants'!C54</f>
        <v/>
      </c>
      <c r="I15" s="155">
        <f>('Tax Case Study'!C6/'Tax Constants'!$C$3)*'Tax Constants'!C55</f>
        <v/>
      </c>
      <c r="J15" s="155">
        <f>('Tax Case Study'!C6/'Tax Constants'!$C$3)*'Tax Constants'!C56</f>
        <v/>
      </c>
      <c r="K15" s="155">
        <f>('Tax Case Study'!C6/'Tax Constants'!$C$3)*'Tax Constants'!C57</f>
        <v/>
      </c>
      <c r="L15" s="155">
        <f>('Tax Case Study'!C6/'Tax Constants'!$C$3)*'Tax Constants'!C58</f>
        <v/>
      </c>
      <c r="M15" s="155">
        <f>('Tax Case Study'!C6/'Tax Constants'!$C$3)*'Tax Constants'!C59</f>
        <v/>
      </c>
    </row>
    <row r="16">
      <c r="B16" s="153" t="inlineStr">
        <is>
          <t>Exit Distribution (Y10)</t>
        </is>
      </c>
      <c r="M16" s="140">
        <f>('Tax Case Study'!C6/'Tax Constants'!$C$3)*'Tax Constants'!$C$20</f>
        <v/>
      </c>
    </row>
    <row r="17">
      <c r="B17" s="154" t="inlineStr">
        <is>
          <t>Total Pre-Tax CF</t>
        </is>
      </c>
      <c r="C17" s="155">
        <f>C15</f>
        <v/>
      </c>
      <c r="D17" s="155">
        <f>D15</f>
        <v/>
      </c>
      <c r="E17" s="155">
        <f>E15</f>
        <v/>
      </c>
      <c r="F17" s="155">
        <f>F15</f>
        <v/>
      </c>
      <c r="G17" s="155">
        <f>G15</f>
        <v/>
      </c>
      <c r="H17" s="155">
        <f>H15</f>
        <v/>
      </c>
      <c r="I17" s="155">
        <f>I15</f>
        <v/>
      </c>
      <c r="J17" s="155">
        <f>J15</f>
        <v/>
      </c>
      <c r="K17" s="155">
        <f>K15</f>
        <v/>
      </c>
      <c r="L17" s="155">
        <f>L15</f>
        <v/>
      </c>
      <c r="M17" s="155">
        <f>M15+M16</f>
        <v/>
      </c>
    </row>
    <row r="19">
      <c r="B19" s="122" t="inlineStr">
        <is>
          <t>EXIT TAX (Y10)</t>
        </is>
      </c>
    </row>
    <row r="20">
      <c r="B20" s="129" t="inlineStr">
        <is>
          <t>Cumulative Depreciation Taken</t>
        </is>
      </c>
      <c r="M20" s="140">
        <f>SUM(D8:M8)</f>
        <v/>
      </c>
    </row>
    <row r="21">
      <c r="B21" s="129" t="inlineStr">
        <is>
          <t>Exit Proceeds to LP</t>
        </is>
      </c>
      <c r="M21" s="140">
        <f>('Tax Case Study'!C6/'Tax Constants'!$C$3)*'Tax Constants'!$C$20</f>
        <v/>
      </c>
    </row>
    <row r="22">
      <c r="B22" s="129" t="inlineStr">
        <is>
          <t>§1250 Recapture Tax (on cum. dep)</t>
        </is>
      </c>
      <c r="M22" s="140">
        <f>M20*('Tax Case Study'!C12+'Tax Case Study'!C10+'Tax Case Study'!C13)</f>
        <v/>
      </c>
    </row>
    <row r="23">
      <c r="B23" s="129" t="inlineStr">
        <is>
          <t>LTCG Tax (on appreciation)</t>
        </is>
      </c>
      <c r="M23" s="140">
        <f>MAX(0,(M21-M20-'Tax Case Study'!C6))*('Tax Case Study'!C11+'Tax Case Study'!C10+'Tax Case Study'!C13)</f>
        <v/>
      </c>
    </row>
    <row r="24">
      <c r="B24" s="142" t="inlineStr">
        <is>
          <t>Total Exit Tax</t>
        </is>
      </c>
      <c r="M24" s="155">
        <f>M22+M23</f>
        <v/>
      </c>
    </row>
    <row r="26">
      <c r="B26" s="122" t="inlineStr">
        <is>
          <t>AFTER-TAX CASH FLOWS</t>
        </is>
      </c>
    </row>
    <row r="27">
      <c r="B27" s="154" t="inlineStr">
        <is>
          <t>After-Tax Cash Flow</t>
        </is>
      </c>
      <c r="C27" s="155">
        <f>-'Tax Case Study'!C6</f>
        <v/>
      </c>
      <c r="D27" s="155">
        <f>D17-D12</f>
        <v/>
      </c>
      <c r="E27" s="155">
        <f>E17-E12</f>
        <v/>
      </c>
      <c r="F27" s="155">
        <f>F17-F12</f>
        <v/>
      </c>
      <c r="G27" s="155">
        <f>G17-G12</f>
        <v/>
      </c>
      <c r="H27" s="155">
        <f>H17-H12</f>
        <v/>
      </c>
      <c r="I27" s="155">
        <f>I17-I12</f>
        <v/>
      </c>
      <c r="J27" s="155">
        <f>J17-J12</f>
        <v/>
      </c>
      <c r="K27" s="155">
        <f>K17-K12</f>
        <v/>
      </c>
      <c r="L27" s="155">
        <f>L17-L12</f>
        <v/>
      </c>
      <c r="M27" s="155">
        <f>M17-M12-M24</f>
        <v/>
      </c>
    </row>
    <row r="28">
      <c r="B28" s="129" t="inlineStr">
        <is>
          <t>Total LP-Class Distributions (ref: deck $40.4M)</t>
        </is>
      </c>
      <c r="C28" s="156">
        <f>'Tax Constants'!$C$22</f>
        <v/>
      </c>
    </row>
    <row r="29">
      <c r="B29" s="129" t="inlineStr">
        <is>
          <t>Pre-Tax LP IRR</t>
        </is>
      </c>
      <c r="C29" s="157">
        <f>IRR(C17:M17)</f>
        <v/>
      </c>
    </row>
    <row r="30">
      <c r="B30" s="129" t="inlineStr">
        <is>
          <t>Total After-Tax Distributions (this LP)</t>
        </is>
      </c>
      <c r="C30" s="156">
        <f>SUM(D27:M27)</f>
        <v/>
      </c>
    </row>
    <row r="31">
      <c r="B31" s="129" t="inlineStr">
        <is>
          <t>Cumulative Tax Paid</t>
        </is>
      </c>
      <c r="C31" s="156">
        <f>SUM(D17:M17) - C30</f>
        <v/>
      </c>
    </row>
    <row r="32">
      <c r="B32" s="129" t="inlineStr">
        <is>
          <t>After-Tax LP IRR</t>
        </is>
      </c>
      <c r="C32" s="158">
        <f>IRR(C27:M27)</f>
        <v/>
      </c>
    </row>
    <row r="35">
      <c r="B35" s="123" t="inlineStr">
        <is>
          <t>NO-SHELTER ALTERNATIVE (all gains at ordinary rate)</t>
        </is>
      </c>
    </row>
    <row r="36">
      <c r="B36" s="159" t="inlineStr">
        <is>
          <t xml:space="preserve">  Pre-Tax CF (ref)</t>
        </is>
      </c>
      <c r="C36" s="160">
        <f>C17</f>
        <v/>
      </c>
      <c r="D36" s="160">
        <f>D17</f>
        <v/>
      </c>
      <c r="E36" s="160">
        <f>E17</f>
        <v/>
      </c>
      <c r="F36" s="160">
        <f>F17</f>
        <v/>
      </c>
      <c r="G36" s="160">
        <f>G17</f>
        <v/>
      </c>
      <c r="H36" s="160">
        <f>H17</f>
        <v/>
      </c>
      <c r="I36" s="160">
        <f>I17</f>
        <v/>
      </c>
      <c r="J36" s="160">
        <f>J17</f>
        <v/>
      </c>
      <c r="K36" s="160">
        <f>K17</f>
        <v/>
      </c>
      <c r="L36" s="160">
        <f>L17</f>
        <v/>
      </c>
      <c r="M36" s="160">
        <f>M17</f>
        <v/>
      </c>
    </row>
    <row r="37">
      <c r="B37" s="161" t="inlineStr">
        <is>
          <t xml:space="preserve">  Basis Remaining (start of year)</t>
        </is>
      </c>
      <c r="C37" s="162">
        <f>'Tax Case Study'!C6</f>
        <v/>
      </c>
      <c r="D37" s="162">
        <f>MAX(0, C37 - C38)</f>
        <v/>
      </c>
      <c r="E37" s="162">
        <f>MAX(0, D37 - D38)</f>
        <v/>
      </c>
      <c r="F37" s="162">
        <f>MAX(0, E37 - E38)</f>
        <v/>
      </c>
      <c r="G37" s="162">
        <f>MAX(0, F37 - F38)</f>
        <v/>
      </c>
      <c r="H37" s="162">
        <f>MAX(0, G37 - G38)</f>
        <v/>
      </c>
      <c r="I37" s="162">
        <f>MAX(0, H37 - H38)</f>
        <v/>
      </c>
      <c r="J37" s="162">
        <f>MAX(0, I37 - I38)</f>
        <v/>
      </c>
      <c r="K37" s="162">
        <f>MAX(0, J37 - J38)</f>
        <v/>
      </c>
      <c r="L37" s="162">
        <f>MAX(0, K37 - K38)</f>
        <v/>
      </c>
      <c r="M37" s="162">
        <f>MAX(0, L37 - L38)</f>
        <v/>
      </c>
    </row>
    <row r="38">
      <c r="B38" s="161" t="inlineStr">
        <is>
          <t xml:space="preserve">  Return of Capital</t>
        </is>
      </c>
      <c r="C38" s="162" t="n">
        <v>0</v>
      </c>
      <c r="D38" s="162">
        <f>MIN(D37, MAX(0, D36))</f>
        <v/>
      </c>
      <c r="E38" s="162">
        <f>MIN(E37, MAX(0, E36))</f>
        <v/>
      </c>
      <c r="F38" s="162">
        <f>MIN(F37, MAX(0, F36))</f>
        <v/>
      </c>
      <c r="G38" s="162">
        <f>MIN(G37, MAX(0, G36))</f>
        <v/>
      </c>
      <c r="H38" s="162">
        <f>MIN(H37, MAX(0, H36))</f>
        <v/>
      </c>
      <c r="I38" s="162">
        <f>MIN(I37, MAX(0, I36))</f>
        <v/>
      </c>
      <c r="J38" s="162">
        <f>MIN(J37, MAX(0, J36))</f>
        <v/>
      </c>
      <c r="K38" s="162">
        <f>MIN(K37, MAX(0, K36))</f>
        <v/>
      </c>
      <c r="L38" s="162">
        <f>MIN(L37, MAX(0, L36))</f>
        <v/>
      </c>
      <c r="M38" s="162">
        <f>MIN(M37, MAX(0, M36))</f>
        <v/>
      </c>
    </row>
    <row r="39">
      <c r="B39" s="161" t="inlineStr">
        <is>
          <t xml:space="preserve">  Gain (taxable ordinary)</t>
        </is>
      </c>
      <c r="C39" s="162" t="n">
        <v>0</v>
      </c>
      <c r="D39" s="162">
        <f>MAX(0, D36 - D38)</f>
        <v/>
      </c>
      <c r="E39" s="162">
        <f>MAX(0, E36 - E38)</f>
        <v/>
      </c>
      <c r="F39" s="162">
        <f>MAX(0, F36 - F38)</f>
        <v/>
      </c>
      <c r="G39" s="162">
        <f>MAX(0, G36 - G38)</f>
        <v/>
      </c>
      <c r="H39" s="162">
        <f>MAX(0, H36 - H38)</f>
        <v/>
      </c>
      <c r="I39" s="162">
        <f>MAX(0, I36 - I38)</f>
        <v/>
      </c>
      <c r="J39" s="162">
        <f>MAX(0, J36 - J38)</f>
        <v/>
      </c>
      <c r="K39" s="162">
        <f>MAX(0, K36 - K38)</f>
        <v/>
      </c>
      <c r="L39" s="162">
        <f>MAX(0, L36 - L38)</f>
        <v/>
      </c>
      <c r="M39" s="162">
        <f>MAX(0, M36 - M38)</f>
        <v/>
      </c>
    </row>
    <row r="40">
      <c r="B40" s="161" t="inlineStr">
        <is>
          <t xml:space="preserve">  Ordinary Tax on Gain</t>
        </is>
      </c>
      <c r="C40" s="162" t="n">
        <v>0</v>
      </c>
      <c r="D40" s="162">
        <f>D39*('Tax Case Study'!C9+'Tax Case Study'!C10+'Tax Case Study'!C13)</f>
        <v/>
      </c>
      <c r="E40" s="162">
        <f>E39*('Tax Case Study'!C9+'Tax Case Study'!C10+'Tax Case Study'!C13)</f>
        <v/>
      </c>
      <c r="F40" s="162">
        <f>F39*('Tax Case Study'!C9+'Tax Case Study'!C10+'Tax Case Study'!C13)</f>
        <v/>
      </c>
      <c r="G40" s="162">
        <f>G39*('Tax Case Study'!C9+'Tax Case Study'!C10+'Tax Case Study'!C13)</f>
        <v/>
      </c>
      <c r="H40" s="162">
        <f>H39*('Tax Case Study'!C9+'Tax Case Study'!C10+'Tax Case Study'!C13)</f>
        <v/>
      </c>
      <c r="I40" s="162">
        <f>I39*('Tax Case Study'!C9+'Tax Case Study'!C10+'Tax Case Study'!C13)</f>
        <v/>
      </c>
      <c r="J40" s="162">
        <f>J39*('Tax Case Study'!C9+'Tax Case Study'!C10+'Tax Case Study'!C13)</f>
        <v/>
      </c>
      <c r="K40" s="162">
        <f>K39*('Tax Case Study'!C9+'Tax Case Study'!C10+'Tax Case Study'!C13)</f>
        <v/>
      </c>
      <c r="L40" s="162">
        <f>L39*('Tax Case Study'!C9+'Tax Case Study'!C10+'Tax Case Study'!C13)</f>
        <v/>
      </c>
      <c r="M40" s="162">
        <f>M39*('Tax Case Study'!C9+'Tax Case Study'!C10+'Tax Case Study'!C13)</f>
        <v/>
      </c>
    </row>
    <row r="41">
      <c r="B41" s="142" t="inlineStr">
        <is>
          <t xml:space="preserve">  No-Shelter After-Tax CF</t>
        </is>
      </c>
      <c r="C41" s="155">
        <f>C36</f>
        <v/>
      </c>
      <c r="D41" s="155">
        <f>D36 - D40</f>
        <v/>
      </c>
      <c r="E41" s="155">
        <f>E36 - E40</f>
        <v/>
      </c>
      <c r="F41" s="155">
        <f>F36 - F40</f>
        <v/>
      </c>
      <c r="G41" s="155">
        <f>G36 - G40</f>
        <v/>
      </c>
      <c r="H41" s="155">
        <f>H36 - H40</f>
        <v/>
      </c>
      <c r="I41" s="155">
        <f>I36 - I40</f>
        <v/>
      </c>
      <c r="J41" s="155">
        <f>J36 - J40</f>
        <v/>
      </c>
      <c r="K41" s="155">
        <f>K36 - K40</f>
        <v/>
      </c>
      <c r="L41" s="155">
        <f>L36 - L40</f>
        <v/>
      </c>
      <c r="M41" s="155">
        <f>M36 - M40</f>
        <v/>
      </c>
    </row>
    <row r="43">
      <c r="B43" s="129" t="inlineStr">
        <is>
          <t>No-Shelter Total Distributions</t>
        </is>
      </c>
      <c r="C43" s="156">
        <f>SUM(D41:M41)</f>
        <v/>
      </c>
    </row>
    <row r="44">
      <c r="B44" s="129" t="inlineStr">
        <is>
          <t>No-Shelter IRR</t>
        </is>
      </c>
      <c r="C44" s="157">
        <f>IRR(C41:M41)</f>
        <v/>
      </c>
    </row>
    <row r="45">
      <c r="B45" s="129" t="inlineStr">
        <is>
          <t>Dollar Savings vs No Shelter</t>
        </is>
      </c>
      <c r="C45" s="163">
        <f>C30 - C43</f>
        <v/>
      </c>
    </row>
    <row r="46">
      <c r="B46" s="129" t="inlineStr">
        <is>
          <t>IRR Uplift (bps)</t>
        </is>
      </c>
      <c r="C46" s="164">
        <f>(C32 - C44)*10000</f>
        <v/>
      </c>
    </row>
    <row r="48">
      <c r="B48" s="123" t="inlineStr">
        <is>
          <t>CORPORATE BOND ALTERNATIVE (aggressive — all ordinary)</t>
        </is>
      </c>
    </row>
    <row r="49">
      <c r="B49" s="159" t="inlineStr">
        <is>
          <t xml:space="preserve">  Pre-Tax CF (ref)</t>
        </is>
      </c>
      <c r="C49" s="160">
        <f>C17</f>
        <v/>
      </c>
      <c r="D49" s="160">
        <f>D17</f>
        <v/>
      </c>
      <c r="E49" s="160">
        <f>E17</f>
        <v/>
      </c>
      <c r="F49" s="160">
        <f>F17</f>
        <v/>
      </c>
      <c r="G49" s="160">
        <f>G17</f>
        <v/>
      </c>
      <c r="H49" s="160">
        <f>H17</f>
        <v/>
      </c>
      <c r="I49" s="160">
        <f>I17</f>
        <v/>
      </c>
      <c r="J49" s="160">
        <f>J17</f>
        <v/>
      </c>
      <c r="K49" s="160">
        <f>K17</f>
        <v/>
      </c>
      <c r="L49" s="160">
        <f>L17</f>
        <v/>
      </c>
      <c r="M49" s="160">
        <f>M17</f>
        <v/>
      </c>
    </row>
    <row r="50">
      <c r="B50" s="142" t="inlineStr">
        <is>
          <t xml:space="preserve">  Bond-Alt After-Tax CF</t>
        </is>
      </c>
      <c r="C50" s="155">
        <f>C49</f>
        <v/>
      </c>
      <c r="D50" s="155">
        <f>D49*(1-('Tax Case Study'!C9+'Tax Case Study'!C10+'Tax Case Study'!C13))</f>
        <v/>
      </c>
      <c r="E50" s="155">
        <f>E49*(1-('Tax Case Study'!C9+'Tax Case Study'!C10+'Tax Case Study'!C13))</f>
        <v/>
      </c>
      <c r="F50" s="155">
        <f>F49*(1-('Tax Case Study'!C9+'Tax Case Study'!C10+'Tax Case Study'!C13))</f>
        <v/>
      </c>
      <c r="G50" s="155">
        <f>G49*(1-('Tax Case Study'!C9+'Tax Case Study'!C10+'Tax Case Study'!C13))</f>
        <v/>
      </c>
      <c r="H50" s="155">
        <f>H49*(1-('Tax Case Study'!C9+'Tax Case Study'!C10+'Tax Case Study'!C13))</f>
        <v/>
      </c>
      <c r="I50" s="155">
        <f>I49*(1-('Tax Case Study'!C9+'Tax Case Study'!C10+'Tax Case Study'!C13))</f>
        <v/>
      </c>
      <c r="J50" s="155">
        <f>J49*(1-('Tax Case Study'!C9+'Tax Case Study'!C10+'Tax Case Study'!C13))</f>
        <v/>
      </c>
      <c r="K50" s="155">
        <f>K49*(1-('Tax Case Study'!C9+'Tax Case Study'!C10+'Tax Case Study'!C13))</f>
        <v/>
      </c>
      <c r="L50" s="155">
        <f>L49*(1-('Tax Case Study'!C9+'Tax Case Study'!C10+'Tax Case Study'!C13))</f>
        <v/>
      </c>
      <c r="M50" s="155">
        <f>M49*(1-('Tax Case Study'!C9+'Tax Case Study'!C10+'Tax Case Study'!C13))</f>
        <v/>
      </c>
    </row>
    <row r="52">
      <c r="B52" s="129" t="inlineStr">
        <is>
          <t>Bond-Alt Total Distributions</t>
        </is>
      </c>
      <c r="C52" s="156">
        <f>SUM(D50:M50)</f>
        <v/>
      </c>
    </row>
    <row r="53">
      <c r="B53" s="129" t="inlineStr">
        <is>
          <t>Bond-Alt IRR</t>
        </is>
      </c>
      <c r="C53" s="157">
        <f>IRR(C50:M50)</f>
        <v/>
      </c>
    </row>
    <row r="54">
      <c r="B54" s="129" t="inlineStr">
        <is>
          <t>Dollar Savings vs Bond-Alt</t>
        </is>
      </c>
      <c r="C54" s="163">
        <f>C30 - C52</f>
        <v/>
      </c>
    </row>
    <row r="55">
      <c r="B55" s="129" t="inlineStr">
        <is>
          <t>IRR Uplift vs Bond-Alt (bps)</t>
        </is>
      </c>
      <c r="C55" s="164">
        <f>(C32 - C53)*10000</f>
        <v/>
      </c>
    </row>
  </sheetData>
  <mergeCells count="1">
    <mergeCell ref="B1:M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:language xmlns:dc="http://purl.org/dc/elements/1.1/">en-US</dc:language>
  <dcterms:created xmlns:dcterms="http://purl.org/dc/terms/" xmlns:xsi="http://www.w3.org/2001/XMLSchema-instance" xsi:type="dcterms:W3CDTF">2026-04-08T20:52:03Z</dcterms:created>
  <dcterms:modified xmlns:dcterms="http://purl.org/dc/terms/" xmlns:xsi="http://www.w3.org/2001/XMLSchema-instance" xsi:type="dcterms:W3CDTF">2026-05-21T02:21:56Z</dcterms:modified>
  <cp:lastModifiedBy>Microsoft Office User</cp:lastModifiedBy>
  <cp:revision>0</cp:revision>
</cp:coreProperties>
</file>