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660" windowWidth="29160" windowHeight="17060" tabRatio="600" firstSheet="0" activeTab="11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Inputs" sheetId="3" state="visible" r:id="rId3"/>
    <sheet xmlns:r="http://schemas.openxmlformats.org/officeDocument/2006/relationships" name="Rent Roll" sheetId="4" state="visible" r:id="rId4"/>
    <sheet xmlns:r="http://schemas.openxmlformats.org/officeDocument/2006/relationships" name="Rent by Suite" sheetId="5" state="visible" r:id="rId5"/>
    <sheet xmlns:r="http://schemas.openxmlformats.org/officeDocument/2006/relationships" name="TI by Suite" sheetId="6" state="visible" r:id="rId6"/>
    <sheet xmlns:r="http://schemas.openxmlformats.org/officeDocument/2006/relationships" name="NOI Build" sheetId="7" state="visible" r:id="rId7"/>
    <sheet xmlns:r="http://schemas.openxmlformats.org/officeDocument/2006/relationships" name="TI-LC Schedule" sheetId="8" state="visible" r:id="rId8"/>
    <sheet xmlns:r="http://schemas.openxmlformats.org/officeDocument/2006/relationships" name="Escrow Roll" sheetId="9" state="visible" r:id="rId9"/>
    <sheet xmlns:r="http://schemas.openxmlformats.org/officeDocument/2006/relationships" name="Debt Service" sheetId="10" state="visible" r:id="rId10"/>
    <sheet xmlns:r="http://schemas.openxmlformats.org/officeDocument/2006/relationships" name="Op CF Returns" sheetId="11" state="visible" r:id="rId11"/>
    <sheet xmlns:r="http://schemas.openxmlformats.org/officeDocument/2006/relationships" name="Next Buyer Econ" sheetId="12" state="visible" r:id="rId12"/>
    <sheet xmlns:r="http://schemas.openxmlformats.org/officeDocument/2006/relationships" name="Exit Scenarios" sheetId="13" state="visible" r:id="rId13"/>
    <sheet xmlns:r="http://schemas.openxmlformats.org/officeDocument/2006/relationships" name="Sensitivity_LandPrice" sheetId="14" state="visible" r:id="rId14"/>
    <sheet xmlns:r="http://schemas.openxmlformats.org/officeDocument/2006/relationships" name="Sensitivity_HoldPeriod" sheetId="15" state="visible" r:id="rId15"/>
    <sheet xmlns:r="http://schemas.openxmlformats.org/officeDocument/2006/relationships" name="Sensitivity_CVS" sheetId="16" state="visible" r:id="rId16"/>
    <sheet xmlns:r="http://schemas.openxmlformats.org/officeDocument/2006/relationships" name="Sensitivity_Stress" sheetId="17" state="visible" r:id="rId17"/>
  </sheets>
  <definedNames/>
  <calcPr calcId="191029" fullCalcOnLoad="1"/>
</workbook>
</file>

<file path=xl/styles.xml><?xml version="1.0" encoding="utf-8"?>
<styleSheet xmlns="http://schemas.openxmlformats.org/spreadsheetml/2006/main">
  <numFmts count="8">
    <numFmt numFmtId="164" formatCode="&quot;$&quot;#,##0"/>
    <numFmt numFmtId="165" formatCode="0.00&quot;x&quot;"/>
    <numFmt numFmtId="166" formatCode="&quot;$&quot;#,##0.00"/>
    <numFmt numFmtId="167" formatCode="0.0%"/>
    <numFmt numFmtId="168" formatCode="0.000"/>
    <numFmt numFmtId="169" formatCode="&quot;$&quot;#,##0;[Red]\(&quot;$&quot;#,##0\)"/>
    <numFmt numFmtId="170" formatCode="0.0"/>
    <numFmt numFmtId="171" formatCode="+0.00&quot;pp&quot;;-0.00&quot;pp&quot;;&quot;—&quot;"/>
  </numFmts>
  <fonts count="20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2"/>
      <scheme val="minor"/>
    </font>
    <font>
      <name val="Calibri"/>
      <family val="2"/>
      <i val="1"/>
      <color rgb="FF808080"/>
      <sz val="9"/>
      <scheme val="minor"/>
    </font>
    <font>
      <name val="Calibri"/>
      <family val="2"/>
      <b val="1"/>
      <color rgb="FF1F4E78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rgb="FFFFFFFF"/>
      <sz val="12"/>
    </font>
    <font>
      <name val="Calibri"/>
      <family val="2"/>
      <i val="1"/>
      <color rgb="FF808080"/>
      <sz val="11"/>
    </font>
    <font>
      <name val="Calibri"/>
      <family val="2"/>
      <b val="1"/>
      <sz val="11"/>
    </font>
    <font>
      <name val="Calibri"/>
      <family val="2"/>
      <i val="1"/>
      <color rgb="FF808080"/>
      <sz val="9"/>
    </font>
    <font>
      <name val="Calibri"/>
      <family val="2"/>
      <b val="1"/>
      <color rgb="FF1F4E78"/>
      <sz val="11"/>
    </font>
    <font>
      <name val="Calibri"/>
      <family val="2"/>
      <b val="1"/>
      <sz val="12"/>
    </font>
    <font>
      <name val="Calibri"/>
      <family val="2"/>
      <color rgb="FF606060"/>
      <sz val="9"/>
    </font>
    <font>
      <name val="Calibri"/>
      <b val="1"/>
      <color rgb="FFFFFFFF"/>
      <sz val="12"/>
    </font>
    <font>
      <name val="Calibri"/>
      <color rgb="FF808080"/>
      <sz val="9"/>
    </font>
    <font>
      <name val="Calibri"/>
      <b val="1"/>
      <color rgb="FF1F4E78"/>
      <sz val="11"/>
    </font>
    <font>
      <name val="Calibri"/>
      <b val="1"/>
      <sz val="11"/>
    </font>
    <font>
      <name val="Calibri"/>
      <sz val="11"/>
    </font>
    <font>
      <name val="Calibri"/>
      <i val="1"/>
      <color rgb="FF595959"/>
      <sz val="10"/>
    </font>
    <font>
      <name val="Calibri"/>
      <b val="1"/>
      <sz val="12"/>
    </font>
  </fonts>
  <fills count="16">
    <fill>
      <patternFill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DEEBF7"/>
      </patternFill>
    </fill>
    <fill>
      <patternFill patternType="solid">
        <fgColor rgb="FFE7E6E6"/>
      </patternFill>
    </fill>
    <fill>
      <patternFill patternType="solid">
        <fgColor rgb="FFE2EFDA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pivotButton="0" quotePrefix="0" xfId="0"/>
    <xf numFmtId="0" fontId="2" fillId="0" borderId="0" pivotButton="0" quotePrefix="0" xfId="0"/>
    <xf numFmtId="164" fontId="0" fillId="4" borderId="0" pivotButton="0" quotePrefix="0" xfId="0"/>
    <xf numFmtId="10" fontId="0" fillId="4" borderId="0" pivotButton="0" quotePrefix="0" xfId="0"/>
    <xf numFmtId="1" fontId="0" fillId="4" borderId="0" pivotButton="0" quotePrefix="0" xfId="0"/>
    <xf numFmtId="164" fontId="4" fillId="5" borderId="0" pivotButton="0" quotePrefix="0" xfId="0"/>
    <xf numFmtId="10" fontId="5" fillId="5" borderId="0" pivotButton="0" quotePrefix="0" xfId="0"/>
    <xf numFmtId="165" fontId="4" fillId="5" borderId="0" pivotButton="0" quotePrefix="0" xfId="0"/>
    <xf numFmtId="0" fontId="4" fillId="0" borderId="0" pivotButton="0" quotePrefix="0" xfId="0"/>
    <xf numFmtId="166" fontId="0" fillId="6" borderId="0" pivotButton="0" quotePrefix="0" xfId="0"/>
    <xf numFmtId="10" fontId="0" fillId="6" borderId="0" pivotButton="0" quotePrefix="0" xfId="0"/>
    <xf numFmtId="1" fontId="0" fillId="6" borderId="0" pivotButton="0" quotePrefix="0" xfId="0"/>
    <xf numFmtId="164" fontId="0" fillId="6" borderId="0" pivotButton="0" quotePrefix="0" xfId="0"/>
    <xf numFmtId="167" fontId="0" fillId="6" borderId="0" pivotButton="0" quotePrefix="0" xfId="0"/>
    <xf numFmtId="168" fontId="0" fillId="4" borderId="0" pivotButton="0" quotePrefix="0" xfId="0"/>
    <xf numFmtId="2" fontId="0" fillId="6" borderId="0" pivotButton="0" quotePrefix="0" xfId="0"/>
    <xf numFmtId="3" fontId="0" fillId="0" borderId="0" pivotButton="0" quotePrefix="0" xfId="0"/>
    <xf numFmtId="166" fontId="0" fillId="0" borderId="0" pivotButton="0" quotePrefix="0" xfId="0"/>
    <xf numFmtId="164" fontId="0" fillId="7" borderId="0" pivotButton="0" quotePrefix="0" xfId="0"/>
    <xf numFmtId="169" fontId="0" fillId="7" borderId="0" pivotButton="0" quotePrefix="0" xfId="0"/>
    <xf numFmtId="165" fontId="0" fillId="7" borderId="0" pivotButton="0" quotePrefix="0" xfId="0"/>
    <xf numFmtId="0" fontId="7" fillId="0" borderId="0" pivotButton="0" quotePrefix="0" xfId="0"/>
    <xf numFmtId="0" fontId="8" fillId="9" borderId="0" pivotButton="0" quotePrefix="0" xfId="0"/>
    <xf numFmtId="0" fontId="8" fillId="1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wrapText="1"/>
    </xf>
    <xf numFmtId="0" fontId="8" fillId="0" borderId="0" pivotButton="0" quotePrefix="0" xfId="0"/>
    <xf numFmtId="164" fontId="0" fillId="11" borderId="0" pivotButton="0" quotePrefix="0" xfId="0"/>
    <xf numFmtId="10" fontId="0" fillId="11" borderId="0" pivotButton="0" quotePrefix="0" xfId="0"/>
    <xf numFmtId="164" fontId="0" fillId="12" borderId="0" pivotButton="0" quotePrefix="0" xfId="0"/>
    <xf numFmtId="169" fontId="0" fillId="13" borderId="0" pivotButton="0" quotePrefix="0" xfId="0"/>
    <xf numFmtId="164" fontId="0" fillId="13" borderId="0" pivotButton="0" quotePrefix="0" xfId="0"/>
    <xf numFmtId="164" fontId="8" fillId="14" borderId="0" pivotButton="0" quotePrefix="0" xfId="0"/>
    <xf numFmtId="169" fontId="0" fillId="12" borderId="0" pivotButton="0" quotePrefix="0" xfId="0"/>
    <xf numFmtId="164" fontId="0" fillId="14" borderId="0" pivotButton="0" quotePrefix="0" xfId="0"/>
    <xf numFmtId="10" fontId="11" fillId="14" borderId="0" pivotButton="0" quotePrefix="0" xfId="0"/>
    <xf numFmtId="165" fontId="0" fillId="14" borderId="0" pivotButton="0" quotePrefix="0" xfId="0"/>
    <xf numFmtId="169" fontId="0" fillId="0" borderId="0" pivotButton="0" quotePrefix="0" xfId="0"/>
    <xf numFmtId="164" fontId="0" fillId="0" borderId="0" pivotButton="0" quotePrefix="0" xfId="0"/>
    <xf numFmtId="165" fontId="8" fillId="14" borderId="0" pivotButton="0" quotePrefix="0" xfId="0"/>
    <xf numFmtId="0" fontId="3" fillId="3" borderId="0" pivotButton="0" quotePrefix="0" xfId="0"/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7" fillId="0" borderId="0" pivotButton="0" quotePrefix="0" xfId="0"/>
    <xf numFmtId="0" fontId="10" fillId="9" borderId="0" pivotButton="0" quotePrefix="0" xfId="0"/>
    <xf numFmtId="0" fontId="12" fillId="0" borderId="0" pivotButton="0" quotePrefix="0" xfId="0"/>
    <xf numFmtId="0" fontId="6" fillId="8" borderId="0" pivotButton="0" quotePrefix="0" xfId="0"/>
    <xf numFmtId="0" fontId="15" fillId="9" borderId="0" pivotButton="0" quotePrefix="0" xfId="0"/>
    <xf numFmtId="0" fontId="16" fillId="0" borderId="0" pivotButton="0" quotePrefix="0" xfId="0"/>
    <xf numFmtId="10" fontId="15" fillId="14" borderId="0" pivotButton="0" quotePrefix="0" xfId="0"/>
    <xf numFmtId="165" fontId="15" fillId="14" borderId="0" pivotButton="0" quotePrefix="0" xfId="0"/>
    <xf numFmtId="164" fontId="15" fillId="14" borderId="0" pivotButton="0" quotePrefix="0" xfId="0"/>
    <xf numFmtId="0" fontId="17" fillId="0" borderId="0" applyAlignment="1" pivotButton="0" quotePrefix="0" xfId="0">
      <alignment vertical="top" wrapText="1"/>
    </xf>
    <xf numFmtId="0" fontId="13" fillId="8" borderId="0" applyAlignment="1" pivotButton="0" quotePrefix="0" xfId="0">
      <alignment horizontal="left" vertical="center"/>
    </xf>
    <xf numFmtId="0" fontId="14" fillId="0" borderId="0" applyAlignment="1" pivotButton="0" quotePrefix="0" xfId="0">
      <alignment vertical="top" wrapText="1"/>
    </xf>
    <xf numFmtId="3" fontId="17" fillId="0" borderId="0" pivotButton="0" quotePrefix="0" xfId="0"/>
    <xf numFmtId="0" fontId="14" fillId="0" borderId="0" pivotButton="0" quotePrefix="0" xfId="0"/>
    <xf numFmtId="166" fontId="17" fillId="0" borderId="0" pivotButton="0" quotePrefix="0" xfId="0"/>
    <xf numFmtId="10" fontId="17" fillId="11" borderId="0" pivotButton="0" quotePrefix="0" xfId="0"/>
    <xf numFmtId="3" fontId="17" fillId="11" borderId="0" pivotButton="0" quotePrefix="0" xfId="0"/>
    <xf numFmtId="166" fontId="17" fillId="11" borderId="0" pivotButton="0" quotePrefix="0" xfId="0"/>
    <xf numFmtId="164" fontId="17" fillId="0" borderId="0" pivotButton="0" quotePrefix="0" xfId="0"/>
    <xf numFmtId="164" fontId="17" fillId="11" borderId="0" pivotButton="0" quotePrefix="0" xfId="0"/>
    <xf numFmtId="165" fontId="17" fillId="11" borderId="0" pivotButton="0" quotePrefix="0" xfId="0"/>
    <xf numFmtId="170" fontId="17" fillId="11" borderId="0" pivotButton="0" quotePrefix="0" xfId="0"/>
    <xf numFmtId="0" fontId="16" fillId="10" borderId="0" applyAlignment="1" pivotButton="0" quotePrefix="0" xfId="0">
      <alignment horizontal="center"/>
    </xf>
    <xf numFmtId="10" fontId="17" fillId="0" borderId="0" pivotButton="0" quotePrefix="0" xfId="0"/>
    <xf numFmtId="0" fontId="18" fillId="0" borderId="0" applyAlignment="1" pivotButton="0" quotePrefix="0" xfId="0">
      <alignment horizontal="left" vertical="center"/>
    </xf>
    <xf numFmtId="0" fontId="16" fillId="9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3" fontId="17" fillId="15" borderId="0" applyAlignment="1" pivotButton="0" quotePrefix="0" xfId="0">
      <alignment horizontal="right" vertical="center"/>
    </xf>
    <xf numFmtId="10" fontId="17" fillId="15" borderId="0" applyAlignment="1" pivotButton="0" quotePrefix="0" xfId="0">
      <alignment horizontal="right" vertical="center"/>
    </xf>
    <xf numFmtId="164" fontId="17" fillId="15" borderId="0" applyAlignment="1" pivotButton="0" quotePrefix="0" xfId="0">
      <alignment horizontal="right" vertical="center"/>
    </xf>
    <xf numFmtId="165" fontId="17" fillId="15" borderId="0" applyAlignment="1" pivotButton="0" quotePrefix="0" xfId="0">
      <alignment horizontal="right" vertical="center"/>
    </xf>
    <xf numFmtId="0" fontId="16" fillId="10" borderId="0" applyAlignment="1" pivotButton="0" quotePrefix="0" xfId="0">
      <alignment horizontal="left" vertical="center"/>
    </xf>
    <xf numFmtId="164" fontId="16" fillId="10" borderId="0" applyAlignment="1" pivotButton="0" quotePrefix="0" xfId="0">
      <alignment horizontal="center" vertical="center"/>
    </xf>
    <xf numFmtId="164" fontId="17" fillId="0" borderId="0" applyAlignment="1" pivotButton="0" quotePrefix="0" xfId="0">
      <alignment horizontal="right" vertical="center"/>
    </xf>
    <xf numFmtId="0" fontId="16" fillId="0" borderId="0" applyAlignment="1" pivotButton="0" quotePrefix="0" xfId="0">
      <alignment horizontal="left" vertical="center"/>
    </xf>
    <xf numFmtId="10" fontId="19" fillId="14" borderId="0" applyAlignment="1" pivotButton="0" quotePrefix="0" xfId="0">
      <alignment horizontal="center" vertical="center"/>
    </xf>
    <xf numFmtId="165" fontId="19" fillId="14" borderId="0" applyAlignment="1" pivotButton="0" quotePrefix="0" xfId="0">
      <alignment horizontal="center" vertical="center"/>
    </xf>
    <xf numFmtId="165" fontId="17" fillId="0" borderId="0" applyAlignment="1" pivotButton="0" quotePrefix="0" xfId="0">
      <alignment horizontal="center" vertical="center"/>
    </xf>
    <xf numFmtId="0" fontId="16" fillId="10" borderId="0" applyAlignment="1" pivotButton="0" quotePrefix="0" xfId="0">
      <alignment horizontal="center" vertical="center"/>
    </xf>
    <xf numFmtId="165" fontId="16" fillId="14" borderId="0" applyAlignment="1" pivotButton="0" quotePrefix="0" xfId="0">
      <alignment horizontal="center" vertical="center"/>
    </xf>
    <xf numFmtId="3" fontId="17" fillId="0" borderId="0" applyAlignment="1" pivotButton="0" quotePrefix="0" xfId="0">
      <alignment horizontal="right" vertical="center"/>
    </xf>
    <xf numFmtId="49" fontId="17" fillId="0" borderId="0" applyAlignment="1" pivotButton="0" quotePrefix="0" xfId="0">
      <alignment horizontal="right" vertical="center"/>
    </xf>
    <xf numFmtId="164" fontId="17" fillId="0" borderId="0" applyAlignment="1" pivotButton="0" quotePrefix="0" xfId="0">
      <alignment horizontal="center" vertical="center"/>
    </xf>
    <xf numFmtId="10" fontId="17" fillId="0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164" fontId="17" fillId="11" borderId="0" applyAlignment="1" pivotButton="0" quotePrefix="0" xfId="0">
      <alignment horizontal="center" vertical="center"/>
    </xf>
    <xf numFmtId="2" fontId="17" fillId="0" borderId="0" applyAlignment="1" pivotButton="0" quotePrefix="0" xfId="0">
      <alignment horizontal="center" vertical="center"/>
    </xf>
    <xf numFmtId="2" fontId="17" fillId="11" borderId="0" applyAlignment="1" pivotButton="0" quotePrefix="0" xfId="0">
      <alignment horizontal="center" vertical="center"/>
    </xf>
    <xf numFmtId="10" fontId="17" fillId="11" borderId="0" applyAlignment="1" pivotButton="0" quotePrefix="0" xfId="0">
      <alignment horizontal="center" vertical="center"/>
    </xf>
    <xf numFmtId="0" fontId="17" fillId="11" borderId="0" applyAlignment="1" pivotButton="0" quotePrefix="0" xfId="0">
      <alignment horizontal="center" vertical="center"/>
    </xf>
    <xf numFmtId="171" fontId="17" fillId="0" borderId="0" applyAlignment="1" pivotButton="0" quotePrefix="0" xfId="0">
      <alignment horizontal="center" vertical="center"/>
    </xf>
    <xf numFmtId="0" fontId="17" fillId="0" borderId="0" applyAlignment="1" pivotButton="0" quotePrefix="0" xfId="0">
      <alignment vertical="center" wrapText="1"/>
    </xf>
    <xf numFmtId="10" fontId="18" fillId="0" borderId="0" applyAlignment="1" pivotButton="0" quotePrefix="0" xfId="0">
      <alignment horizontal="center" vertical="center"/>
    </xf>
    <xf numFmtId="0" fontId="18" fillId="0" borderId="0" applyAlignment="1" pivotButton="0" quotePrefix="0" xfId="0">
      <alignment horizontal="left" vertical="center" wrapText="1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styles" Target="styles.xml" Id="rId18"/><Relationship Type="http://schemas.openxmlformats.org/officeDocument/2006/relationships/theme" Target="theme/theme1.xml" Id="rId19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34"/>
  <sheetViews>
    <sheetView workbookViewId="0">
      <selection activeCell="A1" sqref="A1"/>
    </sheetView>
  </sheetViews>
  <sheetFormatPr baseColWidth="10" defaultColWidth="8.83203125" defaultRowHeight="15"/>
  <cols>
    <col width="3.6640625" customWidth="1" style="40" min="1" max="1"/>
    <col width="38.6640625" customWidth="1" style="40" min="2" max="2"/>
    <col width="16.6640625" customWidth="1" style="40" min="3" max="4"/>
  </cols>
  <sheetData>
    <row r="2" ht="16" customHeight="1" s="40">
      <c r="B2" s="41" t="inlineStr">
        <is>
          <t>MTM OPERATING MODEL — DYNAMIC SUMMARY</t>
        </is>
      </c>
    </row>
    <row r="3">
      <c r="B3" s="1" t="inlineStr">
        <is>
          <t>Headline outputs. All values are formulas — change Inputs and watch update.</t>
        </is>
      </c>
    </row>
    <row r="5">
      <c r="B5" s="39" t="inlineStr">
        <is>
          <t>CURRENT SCENARIO</t>
        </is>
      </c>
    </row>
    <row r="6">
      <c r="B6" t="inlineStr">
        <is>
          <t>Market Rent ($/SF)</t>
        </is>
      </c>
      <c r="C6" s="2">
        <f>Inputs!$C$6</f>
        <v/>
      </c>
    </row>
    <row r="7">
      <c r="B7" t="inlineStr">
        <is>
          <t>TI/LC ($/SF)</t>
        </is>
      </c>
      <c r="C7" s="2">
        <f>Inputs!$C$7</f>
        <v/>
      </c>
    </row>
    <row r="8">
      <c r="B8" t="inlineStr">
        <is>
          <t>Renewal Rate</t>
        </is>
      </c>
      <c r="C8" s="3">
        <f>Inputs!$C$27</f>
        <v/>
      </c>
    </row>
    <row r="9">
      <c r="B9" t="inlineStr">
        <is>
          <t>Non-Renewal Downtime (mo)</t>
        </is>
      </c>
      <c r="C9" s="4">
        <f>Inputs!$C$29</f>
        <v/>
      </c>
    </row>
    <row r="11">
      <c r="B11" s="39" t="inlineStr">
        <is>
          <t>KEY OUTPUTS</t>
        </is>
      </c>
    </row>
    <row r="12">
      <c r="B12" t="inlineStr">
        <is>
          <t>Y1 NOI</t>
        </is>
      </c>
      <c r="C12" s="5">
        <f>'NOI Build'!C15</f>
        <v/>
      </c>
    </row>
    <row r="13">
      <c r="B13" t="inlineStr">
        <is>
          <t>Y5 NOI</t>
        </is>
      </c>
      <c r="C13" s="5">
        <f>'NOI Build'!G15</f>
        <v/>
      </c>
    </row>
    <row r="14">
      <c r="B14" t="inlineStr">
        <is>
          <t>Y10 NOI</t>
        </is>
      </c>
      <c r="C14" s="5">
        <f>'NOI Build'!L15</f>
        <v/>
      </c>
    </row>
    <row r="15" ht="16" customHeight="1" s="40">
      <c r="B15" t="inlineStr">
        <is>
          <t>NOI CAGR (Y1→Y10)</t>
        </is>
      </c>
      <c r="C15" s="6">
        <f>(C14/C12)^(1/9)-1</f>
        <v/>
      </c>
    </row>
    <row r="16">
      <c r="B16" t="inlineStr">
        <is>
          <t>Cumulative TI/LC (10-yr)</t>
        </is>
      </c>
      <c r="C16" s="5">
        <f>'TI-LC Schedule'!L7</f>
        <v/>
      </c>
    </row>
    <row r="17">
      <c r="B17" t="inlineStr">
        <is>
          <t>Final Escrow Balance (Y10)</t>
        </is>
      </c>
      <c r="C17" s="5">
        <f>'Escrow Roll'!L9</f>
        <v/>
      </c>
    </row>
    <row r="19">
      <c r="B19" s="39" t="inlineStr">
        <is>
          <t>RETURNS — 10-YEAR LAND SALE</t>
        </is>
      </c>
    </row>
    <row r="20" ht="16" customHeight="1" s="40">
      <c r="B20" t="inlineStr">
        <is>
          <t>Project IRR (10-yr)</t>
        </is>
      </c>
      <c r="C20" s="6">
        <f>'Op CF Returns'!C18</f>
        <v/>
      </c>
    </row>
    <row r="21">
      <c r="B21" t="inlineStr">
        <is>
          <t>Project Equity Multiple</t>
        </is>
      </c>
      <c r="C21" s="7">
        <f>'Op CF Returns'!C19</f>
        <v/>
      </c>
    </row>
    <row r="22" ht="16" customHeight="1" s="40">
      <c r="B22" t="inlineStr">
        <is>
          <t>LP IRR (net)</t>
        </is>
      </c>
      <c r="C22" s="6">
        <f>'Op CF Returns'!C42</f>
        <v/>
      </c>
    </row>
    <row r="23">
      <c r="B23" t="inlineStr">
        <is>
          <t>LP Equity Multiple (net)</t>
        </is>
      </c>
      <c r="C23" s="7">
        <f>'Op CF Returns'!C43</f>
        <v/>
      </c>
    </row>
    <row r="25">
      <c r="B25" s="39" t="inlineStr">
        <is>
          <t>RETURNS — 5-YEAR REIT EXIT</t>
        </is>
      </c>
    </row>
    <row r="26" ht="16" customHeight="1" s="40">
      <c r="B26" t="inlineStr">
        <is>
          <t>5-Yr Project IRR</t>
        </is>
      </c>
      <c r="C26" s="6">
        <f>'Op CF Returns'!C27</f>
        <v/>
      </c>
    </row>
    <row r="27">
      <c r="B27" t="inlineStr">
        <is>
          <t>5-Yr Project EM</t>
        </is>
      </c>
      <c r="C27" s="7">
        <f>'Op CF Returns'!C28</f>
        <v/>
      </c>
    </row>
    <row r="29">
      <c r="B29" s="46" t="inlineStr">
        <is>
          <t>NEXT BUYER ECONOMICS (Y10 EXIT)</t>
        </is>
      </c>
    </row>
    <row r="30">
      <c r="B30" s="47" t="inlineStr">
        <is>
          <t>Buyer Leveraged IRR</t>
        </is>
      </c>
      <c r="C30" s="48">
        <f>'Next Buyer Econ'!C118</f>
        <v/>
      </c>
    </row>
    <row r="31">
      <c r="B31" s="47" t="inlineStr">
        <is>
          <t>Buyer Equity Multiple</t>
        </is>
      </c>
      <c r="C31" s="49">
        <f>'Next Buyer Econ'!C119</f>
        <v/>
      </c>
    </row>
    <row r="32">
      <c r="B32" s="47" t="inlineStr">
        <is>
          <t>Buyer Stabilized Value</t>
        </is>
      </c>
      <c r="C32" s="50">
        <f>'Next Buyer Econ'!C100</f>
        <v/>
      </c>
    </row>
    <row r="33">
      <c r="B33" s="47" t="inlineStr">
        <is>
          <t>Buyer Profit Margin</t>
        </is>
      </c>
      <c r="C33" s="48">
        <f>'Next Buyer Econ'!C103</f>
        <v/>
      </c>
    </row>
    <row r="34">
      <c r="B34" s="47" t="inlineStr">
        <is>
          <t>Buyer Dev Yield</t>
        </is>
      </c>
      <c r="C34" s="48">
        <f>'Next Buyer Econ'!C98</f>
        <v/>
      </c>
    </row>
  </sheetData>
  <mergeCells count="6">
    <mergeCell ref="B11:D11"/>
    <mergeCell ref="B5:D5"/>
    <mergeCell ref="B19:D19"/>
    <mergeCell ref="B29:D29"/>
    <mergeCell ref="B25:D25"/>
    <mergeCell ref="B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B2:L18"/>
  <sheetViews>
    <sheetView topLeftCell="A3" zoomScale="186" workbookViewId="0">
      <selection activeCell="C6" sqref="C6"/>
    </sheetView>
  </sheetViews>
  <sheetFormatPr baseColWidth="10" defaultColWidth="8.83203125" defaultRowHeight="15"/>
  <cols>
    <col width="3.6640625" customWidth="1" style="40" min="1" max="1"/>
    <col width="38.6640625" customWidth="1" style="40" min="2" max="2"/>
    <col width="14.6640625" customWidth="1" style="40" min="3" max="12"/>
  </cols>
  <sheetData>
    <row r="2" ht="16" customHeight="1" s="40">
      <c r="B2" s="41" t="inlineStr">
        <is>
          <t>DEBT SERVICE</t>
        </is>
      </c>
    </row>
    <row r="5">
      <c r="C5" s="8" t="inlineStr">
        <is>
          <t>Y1 (2026)</t>
        </is>
      </c>
      <c r="D5" s="8" t="inlineStr">
        <is>
          <t>Y2 (2027)</t>
        </is>
      </c>
      <c r="E5" s="8" t="inlineStr">
        <is>
          <t>Y3 (2028)</t>
        </is>
      </c>
      <c r="F5" s="8" t="inlineStr">
        <is>
          <t>Y4 (2029)</t>
        </is>
      </c>
      <c r="G5" s="8" t="inlineStr">
        <is>
          <t>Y5 (2030)</t>
        </is>
      </c>
      <c r="H5" s="8" t="inlineStr">
        <is>
          <t>Y6 (2031)</t>
        </is>
      </c>
      <c r="I5" s="8" t="inlineStr">
        <is>
          <t>Y7 (2032)</t>
        </is>
      </c>
      <c r="J5" s="8" t="inlineStr">
        <is>
          <t>Y8 (2033)</t>
        </is>
      </c>
      <c r="K5" s="8" t="inlineStr">
        <is>
          <t>Y9 (2034)</t>
        </is>
      </c>
      <c r="L5" s="8" t="inlineStr">
        <is>
          <t>Y10 (2035)</t>
        </is>
      </c>
    </row>
    <row r="6">
      <c r="B6" t="inlineStr">
        <is>
          <t>Initial Loan IO Pmt ($/yr)</t>
        </is>
      </c>
      <c r="C6" s="2">
        <f>Inputs!$C$35*Inputs!$C$36</f>
        <v/>
      </c>
    </row>
    <row r="7">
      <c r="B7" t="inlineStr">
        <is>
          <t>Initial Loan P&amp;I Pmt ($/yr)</t>
        </is>
      </c>
      <c r="C7" s="2">
        <f>-PMT(Inputs!$C$36/12,Inputs!$C$37*12,Inputs!$C$35)*12</f>
        <v/>
      </c>
    </row>
    <row r="8">
      <c r="B8" t="inlineStr">
        <is>
          <t>Y5 Loan Balance</t>
        </is>
      </c>
      <c r="C8" s="2">
        <f>-FV(Inputs!$C$36/12,(Inputs!$C$39-Inputs!$C$38)*12,PMT(Inputs!$C$36/12,Inputs!$C$37*12,Inputs!$C$35),Inputs!$C$35)</f>
        <v/>
      </c>
    </row>
    <row r="9">
      <c r="B9" t="inlineStr">
        <is>
          <t>Y5 Property Value (at refi cap)</t>
        </is>
      </c>
      <c r="C9" s="2">
        <f>'NOI Build'!G15/Inputs!$C$49</f>
        <v/>
      </c>
    </row>
    <row r="10">
      <c r="B10" t="inlineStr">
        <is>
          <t>Y5 New Loan (LTV)</t>
        </is>
      </c>
      <c r="C10" s="2">
        <f>C9*Inputs!$C$50</f>
        <v/>
      </c>
    </row>
    <row r="11">
      <c r="B11" t="inlineStr">
        <is>
          <t>Refi Costs</t>
        </is>
      </c>
      <c r="C11" s="2">
        <f>C10*Inputs!$C$53</f>
        <v/>
      </c>
    </row>
    <row r="12">
      <c r="B12" t="inlineStr">
        <is>
          <t>Net Refi Proceeds (Y5)</t>
        </is>
      </c>
      <c r="C12" s="5">
        <f>C10-C8-C11</f>
        <v/>
      </c>
    </row>
    <row r="13">
      <c r="B13" t="inlineStr">
        <is>
          <t>Refi Loan IO Pmt ($/yr)</t>
        </is>
      </c>
      <c r="C13" s="2">
        <f>C10*Inputs!$C$51</f>
        <v/>
      </c>
    </row>
    <row r="14">
      <c r="B14" t="inlineStr">
        <is>
          <t>Refi Loan P&amp;I Pmt ($/yr)</t>
        </is>
      </c>
      <c r="C14" s="2">
        <f>-PMT(Inputs!$C$51/12,Inputs!$C$37*12,C10)*12</f>
        <v/>
      </c>
    </row>
    <row r="15">
      <c r="B15" t="inlineStr">
        <is>
          <t>Y10 Refi Loan Ending Bal</t>
        </is>
      </c>
      <c r="C15" s="2">
        <f>-FV(Inputs!$C$51/12,(5-Inputs!$C$52)*12,PMT(Inputs!$C$51/12,Inputs!$C$37*12,C10),C10)</f>
        <v/>
      </c>
    </row>
    <row r="17">
      <c r="B17" s="8" t="inlineStr">
        <is>
          <t>Annual Debt Service</t>
        </is>
      </c>
      <c r="C17" s="5">
        <f>IF(1&lt;=Inputs!$C$38,$C$6,IF(1&lt;=Inputs!$C$39,$C$7,IF(1&lt;=Inputs!$C$39+Inputs!$C$52,$C$13,$C$14)))</f>
        <v/>
      </c>
      <c r="D17" s="5">
        <f>IF(2&lt;=Inputs!$C$38,$C$6,IF(2&lt;=Inputs!$C$39,$C$7,IF(2&lt;=Inputs!$C$39+Inputs!$C$52,$C$13,$C$14)))</f>
        <v/>
      </c>
      <c r="E17" s="5">
        <f>IF(3&lt;=Inputs!$C$38,$C$6,IF(3&lt;=Inputs!$C$39,$C$7,IF(3&lt;=Inputs!$C$39+Inputs!$C$52,$C$13,$C$14)))</f>
        <v/>
      </c>
      <c r="F17" s="5">
        <f>IF(4&lt;=Inputs!$C$38,$C$6,IF(4&lt;=Inputs!$C$39,$C$7,IF(4&lt;=Inputs!$C$39+Inputs!$C$52,$C$13,$C$14)))</f>
        <v/>
      </c>
      <c r="G17" s="5">
        <f>IF(5&lt;=Inputs!$C$38,$C$6,IF(5&lt;=Inputs!$C$39,$C$7,IF(5&lt;=Inputs!$C$39+Inputs!$C$52,$C$13,$C$14)))</f>
        <v/>
      </c>
      <c r="H17" s="5">
        <f>IF(6&lt;=Inputs!$C$38,$C$6,IF(6&lt;=Inputs!$C$39,$C$7,IF(6&lt;=Inputs!$C$39+Inputs!$C$52,$C$13,$C$14)))</f>
        <v/>
      </c>
      <c r="I17" s="5">
        <f>IF(7&lt;=Inputs!$C$38,$C$6,IF(7&lt;=Inputs!$C$39,$C$7,IF(7&lt;=Inputs!$C$39+Inputs!$C$52,$C$13,$C$14)))</f>
        <v/>
      </c>
      <c r="J17" s="5">
        <f>IF(8&lt;=Inputs!$C$38,$C$6,IF(8&lt;=Inputs!$C$39,$C$7,IF(8&lt;=Inputs!$C$39+Inputs!$C$52,$C$13,$C$14)))</f>
        <v/>
      </c>
      <c r="K17" s="5">
        <f>IF(9&lt;=Inputs!$C$38,$C$6,IF(9&lt;=Inputs!$C$39,$C$7,IF(9&lt;=Inputs!$C$39+Inputs!$C$52,$C$13,$C$14)))</f>
        <v/>
      </c>
      <c r="L17" s="5">
        <f>IF(10&lt;=Inputs!$C$38,$C$6,IF(10&lt;=Inputs!$C$39,$C$7,IF(10&lt;=Inputs!$C$39+Inputs!$C$52,$C$13,$C$14)))</f>
        <v/>
      </c>
    </row>
    <row r="18">
      <c r="B18" s="1" t="inlineStr">
        <is>
          <t>DSCR (NOI / DS)</t>
        </is>
      </c>
      <c r="C18" s="20">
        <f>'NOI Build'!C15/C17</f>
        <v/>
      </c>
      <c r="D18" s="20">
        <f>'NOI Build'!D15/D17</f>
        <v/>
      </c>
      <c r="E18" s="20">
        <f>'NOI Build'!E15/E17</f>
        <v/>
      </c>
      <c r="F18" s="20">
        <f>'NOI Build'!F15/F17</f>
        <v/>
      </c>
      <c r="G18" s="20">
        <f>'NOI Build'!G15/G17</f>
        <v/>
      </c>
      <c r="H18" s="20">
        <f>'NOI Build'!H15/H17</f>
        <v/>
      </c>
      <c r="I18" s="20">
        <f>'NOI Build'!I15/I17</f>
        <v/>
      </c>
      <c r="J18" s="20">
        <f>'NOI Build'!J15/J17</f>
        <v/>
      </c>
      <c r="K18" s="20">
        <f>'NOI Build'!K15/K17</f>
        <v/>
      </c>
      <c r="L18" s="20">
        <f>'NOI Build'!L15/L17</f>
        <v/>
      </c>
    </row>
  </sheetData>
  <mergeCells count="1">
    <mergeCell ref="B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B2:M43"/>
  <sheetViews>
    <sheetView topLeftCell="A3" workbookViewId="0">
      <selection activeCell="M14" sqref="M14"/>
    </sheetView>
  </sheetViews>
  <sheetFormatPr baseColWidth="10" defaultColWidth="8.83203125" defaultRowHeight="15"/>
  <cols>
    <col width="3.6640625" customWidth="1" style="40" min="1" max="1"/>
    <col width="38.6640625" customWidth="1" style="40" min="2" max="2"/>
    <col width="14.6640625" customWidth="1" style="40" min="3" max="13"/>
  </cols>
  <sheetData>
    <row r="2" ht="16" customHeight="1" s="40">
      <c r="B2" s="41" t="inlineStr">
        <is>
          <t>OPERATING CASH FLOW &amp; RETURNS</t>
        </is>
      </c>
    </row>
    <row r="5">
      <c r="C5" s="8" t="inlineStr">
        <is>
          <t>Y0 (Closing)</t>
        </is>
      </c>
      <c r="D5" s="8" t="inlineStr">
        <is>
          <t>Y1 (2026)</t>
        </is>
      </c>
      <c r="E5" s="8" t="inlineStr">
        <is>
          <t>Y2 (2027)</t>
        </is>
      </c>
      <c r="F5" s="8" t="inlineStr">
        <is>
          <t>Y3 (2028)</t>
        </is>
      </c>
      <c r="G5" s="8" t="inlineStr">
        <is>
          <t>Y4 (2029)</t>
        </is>
      </c>
      <c r="H5" s="8" t="inlineStr">
        <is>
          <t>Y5 (2030)</t>
        </is>
      </c>
      <c r="I5" s="8" t="inlineStr">
        <is>
          <t>Y6 (2031)</t>
        </is>
      </c>
      <c r="J5" s="8" t="inlineStr">
        <is>
          <t>Y7 (2032)</t>
        </is>
      </c>
      <c r="K5" s="8" t="inlineStr">
        <is>
          <t>Y8 (2033)</t>
        </is>
      </c>
      <c r="L5" s="8" t="inlineStr">
        <is>
          <t>Y9 (2034)</t>
        </is>
      </c>
      <c r="M5" s="8" t="inlineStr">
        <is>
          <t>Y10 (2035)</t>
        </is>
      </c>
    </row>
    <row r="6">
      <c r="B6" t="inlineStr">
        <is>
          <t>NOI</t>
        </is>
      </c>
      <c r="C6" s="18" t="n">
        <v>0</v>
      </c>
      <c r="D6" s="18">
        <f>'NOI Build'!C15</f>
        <v/>
      </c>
      <c r="E6" s="18">
        <f>'NOI Build'!D15</f>
        <v/>
      </c>
      <c r="F6" s="18">
        <f>'NOI Build'!E15</f>
        <v/>
      </c>
      <c r="G6" s="18">
        <f>'NOI Build'!F15</f>
        <v/>
      </c>
      <c r="H6" s="18">
        <f>'NOI Build'!G15</f>
        <v/>
      </c>
      <c r="I6" s="18">
        <f>'NOI Build'!H15</f>
        <v/>
      </c>
      <c r="J6" s="18">
        <f>'NOI Build'!I15</f>
        <v/>
      </c>
      <c r="K6" s="18">
        <f>'NOI Build'!J15</f>
        <v/>
      </c>
      <c r="L6" s="18">
        <f>'NOI Build'!K15</f>
        <v/>
      </c>
      <c r="M6" s="18">
        <f>'NOI Build'!L15</f>
        <v/>
      </c>
    </row>
    <row r="7">
      <c r="B7" t="inlineStr">
        <is>
          <t>− Debt Service</t>
        </is>
      </c>
      <c r="C7" s="18" t="n">
        <v>0</v>
      </c>
      <c r="D7" s="19">
        <f>-'Debt Service'!C17</f>
        <v/>
      </c>
      <c r="E7" s="19">
        <f>-'Debt Service'!D17</f>
        <v/>
      </c>
      <c r="F7" s="19">
        <f>-'Debt Service'!E17</f>
        <v/>
      </c>
      <c r="G7" s="19">
        <f>-'Debt Service'!F17</f>
        <v/>
      </c>
      <c r="H7" s="19">
        <f>-'Debt Service'!G17</f>
        <v/>
      </c>
      <c r="I7" s="19">
        <f>-'Debt Service'!H17</f>
        <v/>
      </c>
      <c r="J7" s="19">
        <f>-'Debt Service'!I17</f>
        <v/>
      </c>
      <c r="K7" s="19">
        <f>-'Debt Service'!J17</f>
        <v/>
      </c>
      <c r="L7" s="19">
        <f>-'Debt Service'!K17</f>
        <v/>
      </c>
      <c r="M7" s="19">
        <f>-'Debt Service'!L17</f>
        <v/>
      </c>
    </row>
    <row r="8">
      <c r="B8" t="inlineStr">
        <is>
          <t>− Op CF Shortfall</t>
        </is>
      </c>
      <c r="C8" s="18" t="n">
        <v>0</v>
      </c>
      <c r="D8" s="19">
        <f>-'Escrow Roll'!C10</f>
        <v/>
      </c>
      <c r="E8" s="19">
        <f>-'Escrow Roll'!D10</f>
        <v/>
      </c>
      <c r="F8" s="19">
        <f>-'Escrow Roll'!E10</f>
        <v/>
      </c>
      <c r="G8" s="19">
        <f>-'Escrow Roll'!F10</f>
        <v/>
      </c>
      <c r="H8" s="19">
        <f>-'Escrow Roll'!G10</f>
        <v/>
      </c>
      <c r="I8" s="19">
        <f>-'Escrow Roll'!H10</f>
        <v/>
      </c>
      <c r="J8" s="19">
        <f>-'Escrow Roll'!I10</f>
        <v/>
      </c>
      <c r="K8" s="19">
        <f>-'Escrow Roll'!J10</f>
        <v/>
      </c>
      <c r="L8" s="19">
        <f>-'Escrow Roll'!K10</f>
        <v/>
      </c>
      <c r="M8" s="19">
        <f>-'Escrow Roll'!L10</f>
        <v/>
      </c>
    </row>
    <row r="9">
      <c r="B9" t="inlineStr">
        <is>
          <t>+ T-Bill Interest</t>
        </is>
      </c>
      <c r="C9" s="18" t="n">
        <v>0</v>
      </c>
      <c r="D9" s="18">
        <f>'Escrow Roll'!C7</f>
        <v/>
      </c>
      <c r="E9" s="18">
        <f>'Escrow Roll'!D7</f>
        <v/>
      </c>
      <c r="F9" s="18">
        <f>'Escrow Roll'!E7</f>
        <v/>
      </c>
      <c r="G9" s="18">
        <f>'Escrow Roll'!F7</f>
        <v/>
      </c>
      <c r="H9" s="18">
        <f>'Escrow Roll'!G7</f>
        <v/>
      </c>
      <c r="I9" s="18">
        <f>'Escrow Roll'!H7</f>
        <v/>
      </c>
      <c r="J9" s="18">
        <f>'Escrow Roll'!I7</f>
        <v/>
      </c>
      <c r="K9" s="18">
        <f>'Escrow Roll'!J7</f>
        <v/>
      </c>
      <c r="L9" s="18">
        <f>'Escrow Roll'!K7</f>
        <v/>
      </c>
      <c r="M9" s="18">
        <f>'Escrow Roll'!L7</f>
        <v/>
      </c>
    </row>
    <row r="10">
      <c r="B10" t="inlineStr">
        <is>
          <t>+ Net Refi Proceeds (Y5)</t>
        </is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5">
        <f>'Debt Service'!$C$12</f>
        <v/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</row>
    <row r="11">
      <c r="B11" s="8" t="n">
        <v>0</v>
      </c>
      <c r="C11" s="5">
        <f>SUM(C6:C10)</f>
        <v/>
      </c>
      <c r="D11" s="5">
        <f>SUM(D6:D10)</f>
        <v/>
      </c>
      <c r="E11" s="5">
        <f>SUM(E6:E10)</f>
        <v/>
      </c>
      <c r="F11" s="5">
        <f>SUM(F6:F10)</f>
        <v/>
      </c>
      <c r="G11" s="5">
        <f>SUM(G6:G10)</f>
        <v/>
      </c>
      <c r="H11" s="5">
        <f>SUM(H6:H10)</f>
        <v/>
      </c>
      <c r="I11" s="5">
        <f>SUM(I6:I10)</f>
        <v/>
      </c>
      <c r="J11" s="5">
        <f>SUM(J6:J10)</f>
        <v/>
      </c>
      <c r="K11" s="5">
        <f>SUM(K6:K10)</f>
        <v/>
      </c>
      <c r="L11" s="5">
        <f>SUM(L6:L10)</f>
        <v/>
      </c>
      <c r="M11" s="5">
        <f>SUM(M6:M10)</f>
        <v/>
      </c>
    </row>
    <row r="12">
      <c r="B12" t="inlineStr">
        <is>
          <t>Initial Equity Invested</t>
        </is>
      </c>
      <c r="C12" s="19">
        <f>-Inputs!$C$40</f>
        <v/>
      </c>
    </row>
    <row r="13">
      <c r="B13" t="inlineStr">
        <is>
          <t>+ Final Escrow Balance Returned</t>
        </is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5">
        <f>'Escrow Roll'!L9</f>
        <v/>
      </c>
    </row>
    <row r="14">
      <c r="B14" t="inlineStr">
        <is>
          <t>+ Net Sale Proceeds (Y10 Land Sale)</t>
        </is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5">
        <f>Inputs!$C$56*Inputs!$C$57*(1-Inputs!$C$59)-'Debt Service'!$C$15</f>
        <v/>
      </c>
    </row>
    <row r="15">
      <c r="B15" s="8" t="inlineStr">
        <is>
          <t>TOTAL Project CASH FLOW</t>
        </is>
      </c>
      <c r="C15" s="5">
        <f>C12</f>
        <v/>
      </c>
      <c r="D15" s="5">
        <f>D11+D13+D14</f>
        <v/>
      </c>
      <c r="E15" s="5">
        <f>E11+E13+E14</f>
        <v/>
      </c>
      <c r="F15" s="5">
        <f>F11+F13+F14</f>
        <v/>
      </c>
      <c r="G15" s="5">
        <f>G11+G13+G14</f>
        <v/>
      </c>
      <c r="H15" s="5">
        <f>H11+H13+H14</f>
        <v/>
      </c>
      <c r="I15" s="5">
        <f>I11+I13+I14</f>
        <v/>
      </c>
      <c r="J15" s="5">
        <f>J11+J13+J14</f>
        <v/>
      </c>
      <c r="K15" s="5">
        <f>K11+K13+K14</f>
        <v/>
      </c>
      <c r="L15" s="5">
        <f>L11+L13+L14</f>
        <v/>
      </c>
      <c r="M15" s="5">
        <f>M11+M13+M14</f>
        <v/>
      </c>
    </row>
    <row r="17">
      <c r="B17" s="39" t="inlineStr">
        <is>
          <t>PROJECT-LEVEL RETURNS</t>
        </is>
      </c>
    </row>
    <row r="18" ht="16" customHeight="1" s="40">
      <c r="B18" s="8" t="inlineStr">
        <is>
          <t>Project IRR (10-yr, S1 — Land Sale)</t>
        </is>
      </c>
      <c r="C18" s="6">
        <f>IRR(C15:M15)</f>
        <v/>
      </c>
    </row>
    <row r="19">
      <c r="B19" s="8" t="inlineStr">
        <is>
          <t>Project Equity Multiple</t>
        </is>
      </c>
      <c r="C19" s="7">
        <f>SUM(D15:M15)/-C15</f>
        <v/>
      </c>
    </row>
    <row r="22">
      <c r="B22" s="39" t="inlineStr">
        <is>
          <t>5-YEAR REIT EXIT (S2B)</t>
        </is>
      </c>
    </row>
    <row r="23">
      <c r="B23" t="inlineStr">
        <is>
          <t>Y5 NOI</t>
        </is>
      </c>
      <c r="C23" s="2">
        <f>'NOI Build'!G15</f>
        <v/>
      </c>
    </row>
    <row r="24">
      <c r="B24" t="inlineStr">
        <is>
          <t>Y5 Gross Sale (NOI / REIT cap)</t>
        </is>
      </c>
      <c r="C24" s="2">
        <f>C23/Inputs!$C$58</f>
        <v/>
      </c>
    </row>
    <row r="25">
      <c r="B25" t="inlineStr">
        <is>
          <t>Y5 Net Sale</t>
        </is>
      </c>
      <c r="C25" s="5">
        <f>C24*(1-Inputs!$C$59)-'Debt Service'!$C$8</f>
        <v/>
      </c>
    </row>
    <row r="26">
      <c r="B26" s="1" t="inlineStr">
        <is>
          <t>5-Yr Project Cash Flow</t>
        </is>
      </c>
      <c r="C26" s="2">
        <f>C15</f>
        <v/>
      </c>
      <c r="D26" s="2">
        <f>D11-D10</f>
        <v/>
      </c>
      <c r="E26" s="2">
        <f>E11-E10</f>
        <v/>
      </c>
      <c r="F26" s="2">
        <f>F11-F10</f>
        <v/>
      </c>
      <c r="G26" s="2">
        <f>G11-G10</f>
        <v/>
      </c>
      <c r="H26" s="5">
        <f>(H11-H10)+C25+'Escrow Roll'!G9</f>
        <v/>
      </c>
    </row>
    <row r="27" ht="16" customHeight="1" s="40">
      <c r="B27" s="8" t="inlineStr">
        <is>
          <t>5-Yr Project IRR</t>
        </is>
      </c>
      <c r="C27" s="6">
        <f>IRR(C26:H26)</f>
        <v/>
      </c>
    </row>
    <row r="28">
      <c r="B28" s="8" t="inlineStr">
        <is>
          <t>5-Yr Project Equity Multiple</t>
        </is>
      </c>
      <c r="C28" s="7">
        <f>SUM(D26:H26)/-C26</f>
        <v/>
      </c>
    </row>
    <row r="30">
      <c r="B30" s="39" t="inlineStr">
        <is>
          <t>LP-LEVEL RETURNS (10-YR S1)</t>
        </is>
      </c>
    </row>
    <row r="31">
      <c r="B31" t="inlineStr">
        <is>
          <t>Annual Mgmt Fee</t>
        </is>
      </c>
      <c r="C31" s="2">
        <f>Inputs!$C$40*Inputs!$C$44</f>
        <v/>
      </c>
    </row>
    <row r="32">
      <c r="B32" t="inlineStr">
        <is>
          <t>TVC (sum of project CF Y1-Y10)</t>
        </is>
      </c>
      <c r="C32" s="2">
        <f>SUM(D15:M15)</f>
        <v/>
      </c>
    </row>
    <row r="33">
      <c r="B33" t="inlineStr">
        <is>
          <t>TVC net of mgmt fees</t>
        </is>
      </c>
      <c r="C33" s="2">
        <f>C32-10*C31</f>
        <v/>
      </c>
    </row>
    <row r="34">
      <c r="B34" t="inlineStr">
        <is>
          <t>T1: Return of Capital</t>
        </is>
      </c>
      <c r="C34" s="2">
        <f>MIN(C33,Inputs!$C$40)</f>
        <v/>
      </c>
    </row>
    <row r="35">
      <c r="B35" t="inlineStr">
        <is>
          <t>T2: Pref Return</t>
        </is>
      </c>
      <c r="C35" s="2">
        <f>MIN(MAX(C33-Inputs!$C$40,0),Inputs!$C$40*(Inputs!$C$45-1))</f>
        <v/>
      </c>
    </row>
    <row r="36">
      <c r="B36" t="inlineStr">
        <is>
          <t>T3: Excess (above 1.25x)</t>
        </is>
      </c>
      <c r="C36" s="2">
        <f>MAX(C33-Inputs!$C$40*Inputs!$C$45,0)</f>
        <v/>
      </c>
    </row>
    <row r="37">
      <c r="B37" t="inlineStr">
        <is>
          <t>T3 LP Share</t>
        </is>
      </c>
      <c r="C37" s="2">
        <f>C36*Inputs!$C$46</f>
        <v/>
      </c>
    </row>
    <row r="38">
      <c r="B38" t="inlineStr">
        <is>
          <t>T3 GP Promote</t>
        </is>
      </c>
      <c r="C38" s="2">
        <f>C36*(1-Inputs!$C$46)</f>
        <v/>
      </c>
    </row>
    <row r="39">
      <c r="B39" s="8" t="inlineStr">
        <is>
          <t>Total to LP</t>
        </is>
      </c>
      <c r="C39" s="5">
        <f>C34+C35+C37</f>
        <v/>
      </c>
    </row>
    <row r="41">
      <c r="B41" s="8" t="inlineStr">
        <is>
          <t>LP Cash Flow</t>
        </is>
      </c>
      <c r="C41" s="19">
        <f>-Inputs!$C$40</f>
        <v/>
      </c>
      <c r="D41" s="2">
        <f>D11-$C$31</f>
        <v/>
      </c>
      <c r="E41" s="2">
        <f>E11-$C$31</f>
        <v/>
      </c>
      <c r="F41" s="2">
        <f>F11-$C$31</f>
        <v/>
      </c>
      <c r="G41" s="2">
        <f>G11-$C$31</f>
        <v/>
      </c>
      <c r="H41" s="2">
        <f>H11-$C$31</f>
        <v/>
      </c>
      <c r="I41" s="2">
        <f>I11-$C$31</f>
        <v/>
      </c>
      <c r="J41" s="2">
        <f>J11-$C$31</f>
        <v/>
      </c>
      <c r="K41" s="2">
        <f>K11-$C$31</f>
        <v/>
      </c>
      <c r="L41" s="2">
        <f>L11-$C$31</f>
        <v/>
      </c>
      <c r="M41" s="5">
        <f>C39-SUM(D41:L41)</f>
        <v/>
      </c>
    </row>
    <row r="42" ht="16" customHeight="1" s="40">
      <c r="B42" s="8" t="inlineStr">
        <is>
          <t>LP IRR (net of fees + promote)</t>
        </is>
      </c>
      <c r="C42" s="6">
        <f>IRR(C41:M41)</f>
        <v/>
      </c>
    </row>
    <row r="43">
      <c r="B43" s="8" t="inlineStr">
        <is>
          <t>LP Equity Multiple (net)</t>
        </is>
      </c>
      <c r="C43" s="7">
        <f>C39/(-C41)</f>
        <v/>
      </c>
    </row>
  </sheetData>
  <mergeCells count="4">
    <mergeCell ref="B22:M22"/>
    <mergeCell ref="B2:M2"/>
    <mergeCell ref="B30:M30"/>
    <mergeCell ref="B17:M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B2:K130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" customWidth="1" style="40" min="1" max="1"/>
    <col width="38" customWidth="1" style="40" min="2" max="2"/>
    <col width="16" customWidth="1" style="40" min="3" max="3"/>
    <col width="14" customWidth="1" style="40" min="4" max="4"/>
    <col width="14" customWidth="1" style="40" min="5" max="5"/>
    <col width="14" customWidth="1" style="40" min="6" max="6"/>
    <col width="14" customWidth="1" style="40" min="7" max="7"/>
    <col width="14" customWidth="1" style="40" min="8" max="8"/>
    <col width="14" customWidth="1" style="40" min="9" max="9"/>
    <col width="14" customWidth="1" style="40" min="10" max="10"/>
    <col width="32" customWidth="1" style="40" min="11" max="11"/>
  </cols>
  <sheetData>
    <row r="2" ht="22" customHeight="1" s="40">
      <c r="B2" s="52" t="inlineStr">
        <is>
          <t>NEXT BUYER ECONOMICS — MF DEVELOPER PRO FORMA</t>
        </is>
      </c>
    </row>
    <row r="3" ht="30" customHeight="1" s="40">
      <c r="B3" s="53" t="inlineStr">
        <is>
          <t>What the next buyer's deal looks like at our Y10 exit. All seller-side inputs pull from the Inputs tab — change the land $/SF on Inputs!C56 and watch the buyer's IRR, value, and profit margin recalc. Yellow cells are editable buyer-side assumptions.</t>
        </is>
      </c>
    </row>
    <row r="5">
      <c r="B5" s="46" t="inlineStr">
        <is>
          <t>LAND ACQUISITION (FROM SELLER EXIT — INPUTS TAB)</t>
        </is>
      </c>
    </row>
    <row r="6">
      <c r="B6" s="47" t="inlineStr">
        <is>
          <t>Land Area (SF)</t>
        </is>
      </c>
      <c r="C6" s="54">
        <f>Inputs!$C$57</f>
        <v/>
      </c>
      <c r="K6" s="55" t="inlineStr">
        <is>
          <t>Inputs!C57</t>
        </is>
      </c>
    </row>
    <row r="7">
      <c r="B7" s="47" t="inlineStr">
        <is>
          <t>Acquisition $/SF</t>
        </is>
      </c>
      <c r="C7" s="56">
        <f>Inputs!$C$56</f>
        <v/>
      </c>
      <c r="K7" s="55" t="inlineStr">
        <is>
          <t>Inputs!C56 (Y10 land sale)</t>
        </is>
      </c>
    </row>
    <row r="8">
      <c r="B8" s="47" t="inlineStr">
        <is>
          <t>Closing Cost %</t>
        </is>
      </c>
      <c r="C8" s="57" t="n">
        <v>0.015</v>
      </c>
      <c r="K8" s="55" t="inlineStr">
        <is>
          <t>Buyer assumption</t>
        </is>
      </c>
    </row>
    <row r="9">
      <c r="B9" s="47" t="inlineStr">
        <is>
          <t>Land + Closing</t>
        </is>
      </c>
      <c r="C9" s="50">
        <f>C6*C7*(1+C8)</f>
        <v/>
      </c>
      <c r="K9" s="55" t="inlineStr">
        <is>
          <t>Land SF × $/SF × (1+closing)</t>
        </is>
      </c>
    </row>
    <row r="11">
      <c r="B11" s="46" t="inlineStr">
        <is>
          <t>CVS BUYOUT (BUYER PAYS TO TERMINATE GROUND LEASE)</t>
        </is>
      </c>
    </row>
    <row r="12">
      <c r="B12" s="47" t="inlineStr">
        <is>
          <t>CVS Building SF</t>
        </is>
      </c>
      <c r="C12" s="58" t="n">
        <v>12000</v>
      </c>
      <c r="K12" s="55" t="inlineStr">
        <is>
          <t>Pad lease</t>
        </is>
      </c>
    </row>
    <row r="13">
      <c r="B13" s="47" t="inlineStr">
        <is>
          <t>CVS Rent $/SF NNN</t>
        </is>
      </c>
      <c r="C13" s="59" t="n">
        <v>22</v>
      </c>
      <c r="K13" s="55" t="inlineStr">
        <is>
          <t>Current ground rent equivalent</t>
        </is>
      </c>
    </row>
    <row r="14">
      <c r="B14" s="47" t="inlineStr">
        <is>
          <t>Remaining Term (yrs)</t>
        </is>
      </c>
      <c r="C14" s="58" t="n">
        <v>10</v>
      </c>
      <c r="K14" s="55" t="inlineStr">
        <is>
          <t>Mid-hold residual</t>
        </is>
      </c>
    </row>
    <row r="15">
      <c r="B15" s="47" t="inlineStr">
        <is>
          <t>Escalation Rate</t>
        </is>
      </c>
      <c r="C15" s="57" t="n">
        <v>0.02</v>
      </c>
      <c r="K15" s="55" t="inlineStr"/>
    </row>
    <row r="16">
      <c r="B16" s="47" t="inlineStr">
        <is>
          <t>Discount Rate</t>
        </is>
      </c>
      <c r="C16" s="57" t="n">
        <v>0.08</v>
      </c>
      <c r="K16" s="55" t="inlineStr">
        <is>
          <t>Required termination yield</t>
        </is>
      </c>
    </row>
    <row r="17">
      <c r="B17" s="47" t="inlineStr">
        <is>
          <t>PV of Rent Stream</t>
        </is>
      </c>
      <c r="C17" s="60">
        <f>C12*C13*((1-((1+C15)/(1+C16))^C14)/(C16-C15))</f>
        <v/>
      </c>
      <c r="K17" s="55" t="inlineStr">
        <is>
          <t>Growing annuity PV</t>
        </is>
      </c>
    </row>
    <row r="18">
      <c r="B18" s="47" t="inlineStr">
        <is>
          <t>Premium %</t>
        </is>
      </c>
      <c r="C18" s="57" t="n">
        <v>0.15</v>
      </c>
      <c r="K18" s="55" t="inlineStr">
        <is>
          <t>Buyer must overpay for certainty</t>
        </is>
      </c>
    </row>
    <row r="19">
      <c r="B19" s="47" t="inlineStr">
        <is>
          <t>Total Buyout Cost</t>
        </is>
      </c>
      <c r="C19" s="50">
        <f>C17*(1+C18)</f>
        <v/>
      </c>
      <c r="K19" s="55" t="inlineStr">
        <is>
          <t>PV × (1 + premium)</t>
        </is>
      </c>
    </row>
    <row r="21">
      <c r="B21" s="46" t="inlineStr">
        <is>
          <t>DEMO &amp; SITE PREP</t>
        </is>
      </c>
    </row>
    <row r="22">
      <c r="B22" s="47" t="inlineStr">
        <is>
          <t>Existing Building SF</t>
        </is>
      </c>
      <c r="C22" s="58" t="n">
        <v>48196</v>
      </c>
      <c r="K22" s="55" t="inlineStr">
        <is>
          <t>GLA being torn down</t>
        </is>
      </c>
    </row>
    <row r="23">
      <c r="B23" s="47" t="inlineStr">
        <is>
          <t>Demo $/SF</t>
        </is>
      </c>
      <c r="C23" s="59" t="n">
        <v>12</v>
      </c>
      <c r="K23" s="55" t="inlineStr"/>
    </row>
    <row r="24">
      <c r="B24" s="47" t="inlineStr">
        <is>
          <t>Demo Labor + Materials</t>
        </is>
      </c>
      <c r="C24" s="60">
        <f>C22*C23</f>
        <v/>
      </c>
      <c r="K24" s="55" t="inlineStr"/>
    </row>
    <row r="25">
      <c r="B25" s="47" t="inlineStr">
        <is>
          <t>Environmental</t>
        </is>
      </c>
      <c r="C25" s="61" t="n">
        <v>150000</v>
      </c>
      <c r="K25" s="55" t="inlineStr"/>
    </row>
    <row r="26">
      <c r="B26" s="47" t="inlineStr">
        <is>
          <t>Grading &amp; Utilities</t>
        </is>
      </c>
      <c r="C26" s="61" t="n">
        <v>350000</v>
      </c>
      <c r="K26" s="55" t="inlineStr"/>
    </row>
    <row r="27">
      <c r="B27" s="47" t="inlineStr">
        <is>
          <t>Permitting</t>
        </is>
      </c>
      <c r="C27" s="61" t="n">
        <v>250000</v>
      </c>
      <c r="K27" s="55" t="inlineStr"/>
    </row>
    <row r="28">
      <c r="B28" s="47" t="inlineStr">
        <is>
          <t>Total Demo &amp; Site Prep</t>
        </is>
      </c>
      <c r="C28" s="50">
        <f>C24+C25+C26+C27</f>
        <v/>
      </c>
      <c r="K28" s="55" t="inlineStr"/>
    </row>
    <row r="30">
      <c r="B30" s="46" t="inlineStr">
        <is>
          <t>DEVELOPMENT PROGRAM</t>
        </is>
      </c>
    </row>
    <row r="31">
      <c r="B31" s="47" t="inlineStr">
        <is>
          <t>Floor Area Ratio (FAR)</t>
        </is>
      </c>
      <c r="C31" s="62" t="n">
        <v>3</v>
      </c>
      <c r="K31" s="55" t="inlineStr">
        <is>
          <t>14-story mixed-use buildable by right</t>
        </is>
      </c>
    </row>
    <row r="32">
      <c r="B32" s="47" t="inlineStr">
        <is>
          <t>Developable %</t>
        </is>
      </c>
      <c r="C32" s="57" t="n">
        <v>0.7</v>
      </c>
      <c r="K32" s="55" t="inlineStr">
        <is>
          <t>Lot net of setbacks</t>
        </is>
      </c>
    </row>
    <row r="33">
      <c r="B33" s="47" t="inlineStr">
        <is>
          <t>Gross Buildable SF</t>
        </is>
      </c>
      <c r="C33" s="54">
        <f>C6*C32*C31</f>
        <v/>
      </c>
      <c r="K33" s="55" t="inlineStr">
        <is>
          <t>Land × dev% × FAR</t>
        </is>
      </c>
    </row>
    <row r="34">
      <c r="B34" s="47" t="inlineStr">
        <is>
          <t>Efficiency Rate</t>
        </is>
      </c>
      <c r="C34" s="57" t="n">
        <v>0.85</v>
      </c>
      <c r="K34" s="55" t="inlineStr">
        <is>
          <t>Net : gross</t>
        </is>
      </c>
    </row>
    <row r="35">
      <c r="B35" s="47" t="inlineStr">
        <is>
          <t>Net Rentable SF</t>
        </is>
      </c>
      <c r="C35" s="54">
        <f>C33*C34</f>
        <v/>
      </c>
      <c r="K35" s="55" t="inlineStr"/>
    </row>
    <row r="36">
      <c r="B36" s="47" t="inlineStr">
        <is>
          <t>Retail % of Floor</t>
        </is>
      </c>
      <c r="C36" s="57" t="n">
        <v>0.2</v>
      </c>
      <c r="K36" s="55" t="inlineStr">
        <is>
          <t>Ground floor retail share</t>
        </is>
      </c>
    </row>
    <row r="37">
      <c r="B37" s="47" t="inlineStr">
        <is>
          <t>Retail SF</t>
        </is>
      </c>
      <c r="C37" s="54">
        <f>ROUND(C6*C32*C36,0)</f>
        <v/>
      </c>
      <c r="K37" s="55" t="inlineStr">
        <is>
          <t>Ground floor only</t>
        </is>
      </c>
    </row>
    <row r="38">
      <c r="B38" s="47" t="inlineStr">
        <is>
          <t>MF Net Rentable SF</t>
        </is>
      </c>
      <c r="C38" s="54">
        <f>C35-C37</f>
        <v/>
      </c>
      <c r="K38" s="55" t="inlineStr"/>
    </row>
    <row r="39">
      <c r="B39" s="47" t="inlineStr">
        <is>
          <t>Avg Unit SF</t>
        </is>
      </c>
      <c r="C39" s="58" t="n">
        <v>725</v>
      </c>
      <c r="K39" s="55" t="inlineStr"/>
    </row>
    <row r="40">
      <c r="B40" s="47" t="inlineStr">
        <is>
          <t>Total MF Units</t>
        </is>
      </c>
      <c r="C40" s="54">
        <f>ROUND(C38/C39,0)</f>
        <v/>
      </c>
      <c r="K40" s="55" t="inlineStr">
        <is>
          <t>Net MF SF / unit SF</t>
        </is>
      </c>
    </row>
    <row r="42">
      <c r="B42" s="46" t="inlineStr">
        <is>
          <t>CONSTRUCTION</t>
        </is>
      </c>
    </row>
    <row r="43">
      <c r="B43" s="47" t="inlineStr">
        <is>
          <t>Hard Cost $/SF</t>
        </is>
      </c>
      <c r="C43" s="59" t="n">
        <v>220</v>
      </c>
      <c r="K43" s="55" t="inlineStr">
        <is>
          <t>All-in shell + interior</t>
        </is>
      </c>
    </row>
    <row r="44">
      <c r="B44" s="47" t="inlineStr">
        <is>
          <t>Total Hard Costs</t>
        </is>
      </c>
      <c r="C44" s="60">
        <f>C43*C33</f>
        <v/>
      </c>
      <c r="K44" s="55" t="inlineStr">
        <is>
          <t>$/SF × gross buildable</t>
        </is>
      </c>
    </row>
    <row r="45">
      <c r="B45" s="47" t="inlineStr">
        <is>
          <t>Soft Costs (% of hard)</t>
        </is>
      </c>
      <c r="C45" s="57" t="n">
        <v>0.22</v>
      </c>
      <c r="K45" s="55" t="inlineStr">
        <is>
          <t>A&amp;E, legal, marketing, lease-up</t>
        </is>
      </c>
    </row>
    <row r="46">
      <c r="B46" s="47" t="inlineStr">
        <is>
          <t>Total Soft Costs</t>
        </is>
      </c>
      <c r="C46" s="60">
        <f>C44*C45</f>
        <v/>
      </c>
      <c r="K46" s="55" t="inlineStr"/>
    </row>
    <row r="47">
      <c r="B47" s="47" t="inlineStr">
        <is>
          <t>FF&amp;E ($/unit)</t>
        </is>
      </c>
      <c r="C47" s="61" t="n">
        <v>5000</v>
      </c>
      <c r="K47" s="55" t="inlineStr"/>
    </row>
    <row r="48">
      <c r="B48" s="47" t="inlineStr">
        <is>
          <t>Total FF&amp;E</t>
        </is>
      </c>
      <c r="C48" s="60">
        <f>C40*C47</f>
        <v/>
      </c>
      <c r="K48" s="55" t="inlineStr"/>
    </row>
    <row r="49">
      <c r="B49" s="47" t="inlineStr">
        <is>
          <t>Developer Fee (% of hard+soft)</t>
        </is>
      </c>
      <c r="C49" s="57" t="n">
        <v>0.04</v>
      </c>
      <c r="K49" s="55" t="inlineStr"/>
    </row>
    <row r="50">
      <c r="B50" s="47" t="inlineStr">
        <is>
          <t>Total Developer Fee</t>
        </is>
      </c>
      <c r="C50" s="60">
        <f>(C44+C46)*C49</f>
        <v/>
      </c>
      <c r="K50" s="55" t="inlineStr"/>
    </row>
    <row r="51">
      <c r="B51" s="47" t="inlineStr">
        <is>
          <t>Contingency (% of hard)</t>
        </is>
      </c>
      <c r="C51" s="57" t="n">
        <v>0.05</v>
      </c>
      <c r="K51" s="55" t="inlineStr"/>
    </row>
    <row r="52">
      <c r="B52" s="47" t="inlineStr">
        <is>
          <t>Total Contingency</t>
        </is>
      </c>
      <c r="C52" s="60">
        <f>C44*C51</f>
        <v/>
      </c>
      <c r="K52" s="55" t="inlineStr"/>
    </row>
    <row r="53">
      <c r="B53" s="47" t="inlineStr">
        <is>
          <t>Total Construction</t>
        </is>
      </c>
      <c r="C53" s="50">
        <f>C44+C46+C48+C50+C52</f>
        <v/>
      </c>
      <c r="K53" s="55" t="inlineStr"/>
    </row>
    <row r="55">
      <c r="B55" s="46" t="inlineStr">
        <is>
          <t>TOTAL DEVELOPMENT COST (TDC)</t>
        </is>
      </c>
    </row>
    <row r="56">
      <c r="B56" s="47" t="inlineStr">
        <is>
          <t>Construction Loan Rate</t>
        </is>
      </c>
      <c r="C56" s="57" t="n">
        <v>0.07000000000000001</v>
      </c>
      <c r="K56" s="55" t="inlineStr">
        <is>
          <t>During construction</t>
        </is>
      </c>
    </row>
    <row r="57">
      <c r="B57" s="47" t="inlineStr">
        <is>
          <t>Avg Draw Period (yrs)</t>
        </is>
      </c>
      <c r="C57" s="63" t="n">
        <v>1.5</v>
      </c>
      <c r="K57" s="55" t="inlineStr">
        <is>
          <t>Half of construction draw</t>
        </is>
      </c>
    </row>
    <row r="58">
      <c r="B58" s="47" t="inlineStr">
        <is>
          <t>LTC (Loan-to-Cost)</t>
        </is>
      </c>
      <c r="C58" s="57" t="n">
        <v>0.65</v>
      </c>
      <c r="K58" s="55" t="inlineStr">
        <is>
          <t>Used for carry &amp; perm sizing</t>
        </is>
      </c>
    </row>
    <row r="59">
      <c r="B59" s="47" t="inlineStr">
        <is>
          <t>Financing Carry</t>
        </is>
      </c>
      <c r="C59" s="60">
        <f>(C9+C19+C28+C53)*0.60*C56*C57</f>
        <v/>
      </c>
      <c r="K59" s="55" t="inlineStr">
        <is>
          <t>Cost base × 60% const LTC × rate × period</t>
        </is>
      </c>
    </row>
    <row r="60">
      <c r="B60" s="47" t="inlineStr">
        <is>
          <t>TOTAL DEV COST (TDC)</t>
        </is>
      </c>
      <c r="C60" s="50">
        <f>C9+C19+C28+C53+C59</f>
        <v/>
      </c>
      <c r="K60" s="55" t="inlineStr">
        <is>
          <t>Land + CVS + Demo + Construction + Carry</t>
        </is>
      </c>
    </row>
    <row r="61">
      <c r="B61" s="47" t="inlineStr">
        <is>
          <t>Cost / Unit</t>
        </is>
      </c>
      <c r="C61" s="60">
        <f>C60/C40</f>
        <v/>
      </c>
      <c r="K61" s="55" t="inlineStr"/>
    </row>
    <row r="63">
      <c r="B63" s="46" t="inlineStr">
        <is>
          <t>PERMANENT FINANCING (BUYER)</t>
        </is>
      </c>
    </row>
    <row r="64">
      <c r="B64" s="47" t="inlineStr">
        <is>
          <t>Construction → Perm Loan</t>
        </is>
      </c>
      <c r="C64" s="60">
        <f>C60*C58</f>
        <v/>
      </c>
      <c r="K64" s="55" t="inlineStr">
        <is>
          <t>TDC × LTC</t>
        </is>
      </c>
    </row>
    <row r="65">
      <c r="B65" s="47" t="inlineStr">
        <is>
          <t>Permanent Loan Rate</t>
        </is>
      </c>
      <c r="C65" s="57" t="n">
        <v>0.06</v>
      </c>
      <c r="K65" s="55" t="inlineStr"/>
    </row>
    <row r="66">
      <c r="B66" s="47" t="inlineStr">
        <is>
          <t>Amortization (yrs)</t>
        </is>
      </c>
      <c r="C66" s="58" t="n">
        <v>30</v>
      </c>
      <c r="K66" s="55" t="inlineStr"/>
    </row>
    <row r="67">
      <c r="B67" s="47" t="inlineStr">
        <is>
          <t>Annual Debt Service (perm)</t>
        </is>
      </c>
      <c r="C67" s="60">
        <f>PMT(C65/12,C66*12,-C64)*12</f>
        <v/>
      </c>
      <c r="K67" s="55" t="inlineStr">
        <is>
          <t>Standard amort</t>
        </is>
      </c>
    </row>
    <row r="68">
      <c r="B68" s="47" t="inlineStr">
        <is>
          <t>Buyer Equity Required</t>
        </is>
      </c>
      <c r="C68" s="50">
        <f>C60-C64</f>
        <v/>
      </c>
      <c r="K68" s="55" t="inlineStr">
        <is>
          <t>TDC − loan</t>
        </is>
      </c>
    </row>
    <row r="70">
      <c r="B70" s="46" t="inlineStr">
        <is>
          <t>STABILIZED REVENUE</t>
        </is>
      </c>
    </row>
    <row r="71">
      <c r="B71" s="47" t="inlineStr">
        <is>
          <t>MF Rent $/SF / Mo</t>
        </is>
      </c>
      <c r="C71" s="59" t="n">
        <v>4.9</v>
      </c>
      <c r="K71" s="55" t="inlineStr">
        <is>
          <t>Inner Loop class-A comp</t>
        </is>
      </c>
    </row>
    <row r="72">
      <c r="B72" s="47" t="inlineStr">
        <is>
          <t>MF Rent / Unit / Mo</t>
        </is>
      </c>
      <c r="C72" s="60">
        <f>C71*C39</f>
        <v/>
      </c>
      <c r="K72" s="55" t="inlineStr"/>
    </row>
    <row r="73">
      <c r="B73" s="47" t="inlineStr">
        <is>
          <t>MF Gross Potential Revenue</t>
        </is>
      </c>
      <c r="C73" s="60">
        <f>C72*C40*12</f>
        <v/>
      </c>
      <c r="K73" s="55" t="inlineStr"/>
    </row>
    <row r="74">
      <c r="B74" s="47" t="inlineStr">
        <is>
          <t>MF Vacancy</t>
        </is>
      </c>
      <c r="C74" s="57" t="n">
        <v>0.05</v>
      </c>
      <c r="K74" s="55" t="inlineStr"/>
    </row>
    <row r="75">
      <c r="B75" s="47" t="inlineStr">
        <is>
          <t>Loss to Lease</t>
        </is>
      </c>
      <c r="C75" s="57" t="n">
        <v>0.02</v>
      </c>
      <c r="K75" s="55" t="inlineStr"/>
    </row>
    <row r="76">
      <c r="B76" s="47" t="inlineStr">
        <is>
          <t>Other Income $/Unit/Yr</t>
        </is>
      </c>
      <c r="C76" s="61" t="n">
        <v>2200</v>
      </c>
      <c r="K76" s="55" t="inlineStr"/>
    </row>
    <row r="77">
      <c r="B77" s="47" t="inlineStr">
        <is>
          <t>MF Effective Gross Income</t>
        </is>
      </c>
      <c r="C77" s="60">
        <f>C73*(1-C74-C75)+C76*C40</f>
        <v/>
      </c>
      <c r="K77" s="55" t="inlineStr"/>
    </row>
    <row r="78">
      <c r="B78" s="47" t="inlineStr">
        <is>
          <t>Retail NNN $/SF</t>
        </is>
      </c>
      <c r="C78" s="59" t="n">
        <v>45</v>
      </c>
      <c r="K78" s="55" t="inlineStr">
        <is>
          <t>Stabilized ground-floor retail</t>
        </is>
      </c>
    </row>
    <row r="79">
      <c r="B79" s="47" t="inlineStr">
        <is>
          <t>Retail Vacancy</t>
        </is>
      </c>
      <c r="C79" s="57" t="n">
        <v>0.05</v>
      </c>
      <c r="K79" s="55" t="inlineStr"/>
    </row>
    <row r="80">
      <c r="B80" s="47" t="inlineStr">
        <is>
          <t>Retail EGI</t>
        </is>
      </c>
      <c r="C80" s="60">
        <f>C78*C37*(1-C79)</f>
        <v/>
      </c>
      <c r="K80" s="55" t="inlineStr"/>
    </row>
    <row r="81">
      <c r="B81" s="47" t="inlineStr">
        <is>
          <t>Total Effective Gross Income</t>
        </is>
      </c>
      <c r="C81" s="50">
        <f>C77+C80</f>
        <v/>
      </c>
      <c r="K81" s="55" t="inlineStr"/>
    </row>
    <row r="83">
      <c r="B83" s="46" t="inlineStr">
        <is>
          <t>OPERATING EXPENSES (STABILIZED)</t>
        </is>
      </c>
    </row>
    <row r="84">
      <c r="B84" s="47" t="inlineStr">
        <is>
          <t>Management (% of EGI)</t>
        </is>
      </c>
      <c r="C84" s="57" t="n">
        <v>0.035</v>
      </c>
      <c r="K84" s="55" t="inlineStr"/>
    </row>
    <row r="85">
      <c r="B85" s="47" t="inlineStr">
        <is>
          <t>Mgmt $</t>
        </is>
      </c>
      <c r="C85" s="60">
        <f>C81*C84</f>
        <v/>
      </c>
      <c r="K85" s="55" t="inlineStr"/>
    </row>
    <row r="86">
      <c r="B86" s="47" t="inlineStr">
        <is>
          <t>Property Tax Rate</t>
        </is>
      </c>
      <c r="C86" s="57" t="n">
        <v>0.022</v>
      </c>
      <c r="K86" s="55" t="inlineStr">
        <is>
          <t>On TDC basis</t>
        </is>
      </c>
    </row>
    <row r="87">
      <c r="B87" s="47" t="inlineStr">
        <is>
          <t>Tax Abatement %</t>
        </is>
      </c>
      <c r="C87" s="57" t="n">
        <v>0</v>
      </c>
      <c r="K87" s="55" t="inlineStr">
        <is>
          <t>Chapter 380 / TIRZ</t>
        </is>
      </c>
    </row>
    <row r="88">
      <c r="B88" s="47" t="inlineStr">
        <is>
          <t>Property Taxes</t>
        </is>
      </c>
      <c r="C88" s="60">
        <f>C60*C86*(1-C87)</f>
        <v/>
      </c>
      <c r="K88" s="55" t="inlineStr"/>
    </row>
    <row r="89">
      <c r="B89" s="47" t="inlineStr">
        <is>
          <t>Insurance ($/unit base + retail)</t>
        </is>
      </c>
      <c r="C89" s="60">
        <f>C40*1800+C37*3</f>
        <v/>
      </c>
      <c r="K89" s="55" t="inlineStr"/>
    </row>
    <row r="90">
      <c r="B90" s="47" t="inlineStr">
        <is>
          <t>R&amp;M</t>
        </is>
      </c>
      <c r="C90" s="60">
        <f>C40*1200+C37*2</f>
        <v/>
      </c>
      <c r="K90" s="55" t="inlineStr"/>
    </row>
    <row r="91">
      <c r="B91" s="47" t="inlineStr">
        <is>
          <t>G&amp;A ($/unit)</t>
        </is>
      </c>
      <c r="C91" s="60">
        <f>C40*600</f>
        <v/>
      </c>
      <c r="K91" s="55" t="inlineStr"/>
    </row>
    <row r="92">
      <c r="B92" s="47" t="inlineStr">
        <is>
          <t>Marketing ($/unit)</t>
        </is>
      </c>
      <c r="C92" s="60">
        <f>C40*500</f>
        <v/>
      </c>
      <c r="K92" s="55" t="inlineStr"/>
    </row>
    <row r="93">
      <c r="B93" s="47" t="inlineStr">
        <is>
          <t>Reserves</t>
        </is>
      </c>
      <c r="C93" s="60">
        <f>C40*300+C37*1</f>
        <v/>
      </c>
      <c r="K93" s="55" t="inlineStr"/>
    </row>
    <row r="94">
      <c r="B94" s="47" t="inlineStr">
        <is>
          <t>Total Operating Expenses</t>
        </is>
      </c>
      <c r="C94" s="50">
        <f>C85+C88+C89+C90+C91+C92+C93</f>
        <v/>
      </c>
      <c r="K94" s="55" t="inlineStr"/>
    </row>
    <row r="96">
      <c r="B96" s="46" t="inlineStr">
        <is>
          <t>STABILIZED NOI &amp; VALUATION</t>
        </is>
      </c>
    </row>
    <row r="97">
      <c r="B97" s="47" t="inlineStr">
        <is>
          <t>Stabilized NOI</t>
        </is>
      </c>
      <c r="C97" s="50">
        <f>C81-C94</f>
        <v/>
      </c>
      <c r="K97" s="55" t="inlineStr">
        <is>
          <t>EGI − OpEx</t>
        </is>
      </c>
    </row>
    <row r="98">
      <c r="B98" s="47" t="inlineStr">
        <is>
          <t>Development Yield</t>
        </is>
      </c>
      <c r="C98" s="48">
        <f>C97/C60</f>
        <v/>
      </c>
      <c r="K98" s="55" t="inlineStr">
        <is>
          <t>NOI ÷ TDC</t>
        </is>
      </c>
    </row>
    <row r="99">
      <c r="B99" s="47" t="inlineStr">
        <is>
          <t>Implied Exit Cap</t>
        </is>
      </c>
      <c r="C99" s="57" t="n">
        <v>0.05</v>
      </c>
      <c r="K99" s="55" t="inlineStr">
        <is>
          <t>Target stabilized cap</t>
        </is>
      </c>
    </row>
    <row r="100">
      <c r="B100" s="47" t="inlineStr">
        <is>
          <t>Stabilized Property Value</t>
        </is>
      </c>
      <c r="C100" s="50">
        <f>C97/C99</f>
        <v/>
      </c>
      <c r="K100" s="55" t="inlineStr">
        <is>
          <t>NOI ÷ cap</t>
        </is>
      </c>
    </row>
    <row r="101">
      <c r="B101" s="47" t="inlineStr">
        <is>
          <t>Value / Unit</t>
        </is>
      </c>
      <c r="C101" s="60">
        <f>C100/C40</f>
        <v/>
      </c>
      <c r="K101" s="55" t="inlineStr"/>
    </row>
    <row r="102">
      <c r="B102" s="47" t="inlineStr">
        <is>
          <t>Profit (Value − TDC)</t>
        </is>
      </c>
      <c r="C102" s="50">
        <f>C100-C60</f>
        <v/>
      </c>
      <c r="K102" s="55" t="inlineStr"/>
    </row>
    <row r="103">
      <c r="B103" s="47" t="inlineStr">
        <is>
          <t>Profit Margin (on TDC)</t>
        </is>
      </c>
      <c r="C103" s="48">
        <f>C102/C60</f>
        <v/>
      </c>
      <c r="K103" s="55" t="inlineStr"/>
    </row>
    <row r="106">
      <c r="B106" s="46" t="inlineStr">
        <is>
          <t>BUYER DEVELOPMENT TIMELINE &amp; CASH FLOW (8-YR HOLD)</t>
        </is>
      </c>
    </row>
    <row r="108">
      <c r="B108" s="47" t="inlineStr">
        <is>
          <t>Phase</t>
        </is>
      </c>
      <c r="C108" s="64" t="inlineStr">
        <is>
          <t>Y0 Predev</t>
        </is>
      </c>
      <c r="D108" s="64" t="inlineStr">
        <is>
          <t>Y1 Const</t>
        </is>
      </c>
      <c r="E108" s="64" t="inlineStr">
        <is>
          <t>Y2 Const+L/U</t>
        </is>
      </c>
      <c r="F108" s="64" t="inlineStr">
        <is>
          <t>Y3 Stab 1</t>
        </is>
      </c>
      <c r="G108" s="64" t="inlineStr">
        <is>
          <t>Y4 Stab 2</t>
        </is>
      </c>
      <c r="H108" s="64" t="inlineStr">
        <is>
          <t>Y5 Stab 3</t>
        </is>
      </c>
      <c r="I108" s="64" t="inlineStr">
        <is>
          <t>Y6 Stab 4</t>
        </is>
      </c>
      <c r="J108" s="64" t="inlineStr">
        <is>
          <t>Y7 Stab 5+EXIT</t>
        </is>
      </c>
    </row>
    <row r="109">
      <c r="B109" s="47" t="inlineStr">
        <is>
          <t>NOI Growth (post-stabilization)</t>
        </is>
      </c>
      <c r="C109" s="57" t="n">
        <v>0.03</v>
      </c>
      <c r="K109" s="55" t="inlineStr">
        <is>
          <t>Buyer assumption</t>
        </is>
      </c>
    </row>
    <row r="110">
      <c r="B110" s="47" t="inlineStr">
        <is>
          <t>Equity: Predev</t>
        </is>
      </c>
      <c r="C110" s="60">
        <f>-(C9+C19+C28)*(1-C58)</f>
        <v/>
      </c>
      <c r="D110" s="60" t="n">
        <v>0</v>
      </c>
      <c r="E110" s="60" t="n">
        <v>0</v>
      </c>
      <c r="F110" s="60" t="n">
        <v>0</v>
      </c>
      <c r="G110" s="60" t="n">
        <v>0</v>
      </c>
      <c r="H110" s="60" t="n">
        <v>0</v>
      </c>
      <c r="I110" s="60" t="n">
        <v>0</v>
      </c>
      <c r="J110" s="60" t="n">
        <v>0</v>
      </c>
    </row>
    <row r="111">
      <c r="B111" s="47" t="inlineStr">
        <is>
          <t>Equity: Construction</t>
        </is>
      </c>
      <c r="C111" s="60" t="n">
        <v>0</v>
      </c>
      <c r="D111" s="60">
        <f>-(C53*0.6)*(1-C58)</f>
        <v/>
      </c>
      <c r="E111" s="60">
        <f>-(C53*0.4+C59)*(1-C58)</f>
        <v/>
      </c>
      <c r="F111" s="60" t="n">
        <v>0</v>
      </c>
      <c r="G111" s="60" t="n">
        <v>0</v>
      </c>
      <c r="H111" s="60" t="n">
        <v>0</v>
      </c>
      <c r="I111" s="60" t="n">
        <v>0</v>
      </c>
      <c r="J111" s="60" t="n">
        <v>0</v>
      </c>
    </row>
    <row r="112">
      <c r="B112" s="47" t="inlineStr">
        <is>
          <t>NOI</t>
        </is>
      </c>
      <c r="C112" s="60" t="n">
        <v>0</v>
      </c>
      <c r="D112" s="60" t="n">
        <v>0</v>
      </c>
      <c r="E112" s="60">
        <f>C97*0.4</f>
        <v/>
      </c>
      <c r="F112" s="60">
        <f>C97</f>
        <v/>
      </c>
      <c r="G112" s="60">
        <f>F112*(1+$C$109)</f>
        <v/>
      </c>
      <c r="H112" s="60">
        <f>G112*(1+$C$109)</f>
        <v/>
      </c>
      <c r="I112" s="60">
        <f>H112*(1+$C$109)</f>
        <v/>
      </c>
      <c r="J112" s="60">
        <f>I112*(1+$C$109)</f>
        <v/>
      </c>
    </row>
    <row r="113">
      <c r="B113" s="47" t="inlineStr">
        <is>
          <t>Debt Service</t>
        </is>
      </c>
      <c r="C113" s="60" t="n">
        <v>0</v>
      </c>
      <c r="D113" s="60" t="n">
        <v>0</v>
      </c>
      <c r="E113" s="60">
        <f>C67*0.5</f>
        <v/>
      </c>
      <c r="F113" s="60">
        <f>C67</f>
        <v/>
      </c>
      <c r="G113" s="60">
        <f>C67</f>
        <v/>
      </c>
      <c r="H113" s="60">
        <f>C67</f>
        <v/>
      </c>
      <c r="I113" s="60">
        <f>C67</f>
        <v/>
      </c>
      <c r="J113" s="60">
        <f>C67</f>
        <v/>
      </c>
    </row>
    <row r="114">
      <c r="B114" s="47" t="inlineStr">
        <is>
          <t>Exit Proceeds (Y7)</t>
        </is>
      </c>
      <c r="C114" s="60" t="n">
        <v>0</v>
      </c>
      <c r="D114" s="60" t="n">
        <v>0</v>
      </c>
      <c r="E114" s="60" t="n">
        <v>0</v>
      </c>
      <c r="F114" s="60" t="n">
        <v>0</v>
      </c>
      <c r="G114" s="60" t="n">
        <v>0</v>
      </c>
      <c r="H114" s="60" t="n">
        <v>0</v>
      </c>
      <c r="I114" s="60" t="n">
        <v>0</v>
      </c>
      <c r="J114" s="60">
        <f>J112*(1+$C$109)/$C$99*0.98-FV($C$65/12,60,PMT($C$65/12,$C$66*12,-$C$64),-$C$64)</f>
        <v/>
      </c>
    </row>
    <row r="115">
      <c r="B115" s="47" t="inlineStr">
        <is>
          <t>Total Cash Flow</t>
        </is>
      </c>
      <c r="C115" s="50">
        <f>C110+C111+C112-C113+C114</f>
        <v/>
      </c>
      <c r="D115" s="50">
        <f>D110+D111+D112-D113+D114</f>
        <v/>
      </c>
      <c r="E115" s="50">
        <f>E110+E111+E112-E113+E114</f>
        <v/>
      </c>
      <c r="F115" s="50">
        <f>F110+F111+F112-F113+F114</f>
        <v/>
      </c>
      <c r="G115" s="50">
        <f>G110+G111+G112-G113+G114</f>
        <v/>
      </c>
      <c r="H115" s="50">
        <f>H110+H111+H112-H113+H114</f>
        <v/>
      </c>
      <c r="I115" s="50">
        <f>I110+I111+I112-I113+I114</f>
        <v/>
      </c>
      <c r="J115" s="50">
        <f>J110+J111+J112-J113+J114</f>
        <v/>
      </c>
    </row>
    <row r="117">
      <c r="B117" s="46" t="inlineStr">
        <is>
          <t>BUYER RETURNS</t>
        </is>
      </c>
    </row>
    <row r="118">
      <c r="B118" s="47" t="inlineStr">
        <is>
          <t>Leveraged IRR</t>
        </is>
      </c>
      <c r="C118" s="48">
        <f>IRR(C115:J115,0.2)</f>
        <v/>
      </c>
      <c r="K118" s="55" t="inlineStr">
        <is>
          <t>On buyer equity</t>
        </is>
      </c>
    </row>
    <row r="119">
      <c r="B119" s="47" t="inlineStr">
        <is>
          <t>Equity Multiple</t>
        </is>
      </c>
      <c r="C119" s="49">
        <f>SUMPRODUCT((C115:J115&gt;0)*C115:J115)/-SUMPRODUCT((C115:J115&lt;0)*C115:J115)</f>
        <v/>
      </c>
      <c r="K119" s="55" t="inlineStr">
        <is>
          <t>Inflows / outflows</t>
        </is>
      </c>
    </row>
    <row r="120">
      <c r="B120" s="47" t="inlineStr">
        <is>
          <t>Total Profit ($)</t>
        </is>
      </c>
      <c r="C120" s="50">
        <f>C102</f>
        <v/>
      </c>
    </row>
    <row r="121">
      <c r="B121" s="47" t="inlineStr">
        <is>
          <t>Profit Margin (%)</t>
        </is>
      </c>
      <c r="C121" s="48">
        <f>C103</f>
        <v/>
      </c>
    </row>
    <row r="122">
      <c r="B122" s="47" t="inlineStr">
        <is>
          <t>Cost / Unit</t>
        </is>
      </c>
      <c r="C122" s="50">
        <f>C61</f>
        <v/>
      </c>
    </row>
    <row r="123">
      <c r="B123" s="47" t="inlineStr">
        <is>
          <t>Value / Unit</t>
        </is>
      </c>
      <c r="C123" s="50">
        <f>C101</f>
        <v/>
      </c>
    </row>
    <row r="125">
      <c r="B125" s="46" t="inlineStr">
        <is>
          <t>LAND VALUE THESIS — DOES THE NEXT BUYER PENCIL?</t>
        </is>
      </c>
    </row>
    <row r="126">
      <c r="B126" s="47" t="inlineStr">
        <is>
          <t>Land cost as % of TDC</t>
        </is>
      </c>
      <c r="C126" s="65">
        <f>C9/C60</f>
        <v/>
      </c>
      <c r="K126" s="55" t="inlineStr">
        <is>
          <t>Healthy MF dev: 15-25%</t>
        </is>
      </c>
    </row>
    <row r="127">
      <c r="B127" s="47" t="inlineStr">
        <is>
          <t>Buyer return spread vs hurdle</t>
        </is>
      </c>
      <c r="C127" s="65">
        <f>C118-0.15</f>
        <v/>
      </c>
      <c r="K127" s="55" t="inlineStr">
        <is>
          <t>vs typical 15% MF dev hurdle</t>
        </is>
      </c>
    </row>
    <row r="128">
      <c r="B128" s="47" t="inlineStr">
        <is>
          <t>Untrended dev yield vs perm cap</t>
        </is>
      </c>
      <c r="C128" s="65">
        <f>C98-C99</f>
        <v/>
      </c>
      <c r="K128" s="55" t="inlineStr">
        <is>
          <t>Spread proves arbitrage</t>
        </is>
      </c>
    </row>
    <row r="130" ht="30" customHeight="1" s="40">
      <c r="B130" s="53" t="inlineStr">
        <is>
          <t>Validation: if buyer IRR ≥ 15% and dev yield ≥ 100 bps above perm cap, the next-buyer underwriting supports our exit price.</t>
        </is>
      </c>
    </row>
  </sheetData>
  <mergeCells count="16">
    <mergeCell ref="B63:K63"/>
    <mergeCell ref="B96:K96"/>
    <mergeCell ref="B70:K70"/>
    <mergeCell ref="B30:K30"/>
    <mergeCell ref="B21:K21"/>
    <mergeCell ref="B83:K83"/>
    <mergeCell ref="B106:K106"/>
    <mergeCell ref="B130:K130"/>
    <mergeCell ref="B55:K55"/>
    <mergeCell ref="B117:K117"/>
    <mergeCell ref="B42:K42"/>
    <mergeCell ref="B2:K2"/>
    <mergeCell ref="B125:K125"/>
    <mergeCell ref="B11:K11"/>
    <mergeCell ref="B3:K3"/>
    <mergeCell ref="B5:K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B2:H73"/>
  <sheetViews>
    <sheetView tabSelected="1" workbookViewId="0">
      <selection activeCell="A1" sqref="A1"/>
    </sheetView>
  </sheetViews>
  <sheetFormatPr baseColWidth="10" defaultColWidth="8.83203125" defaultRowHeight="15"/>
  <cols>
    <col width="3" customWidth="1" style="40" min="1" max="1"/>
    <col width="36" customWidth="1" style="40" min="2" max="2"/>
    <col width="16" customWidth="1" style="40" min="3" max="8"/>
  </cols>
  <sheetData>
    <row r="2" ht="16" customHeight="1" s="40">
      <c r="B2" s="45" t="inlineStr">
        <is>
          <t>EXIT SCENARIO COMPARISON — ALL FORMULA-DRIVEN</t>
        </is>
      </c>
    </row>
    <row r="3">
      <c r="B3" s="42" t="inlineStr">
        <is>
          <t>Driven by the same Inputs (renewal rate, TI/LC, escalator, etc.) and existing NOI/DS sheets. Edit Inputs to flex every scenario.</t>
        </is>
      </c>
    </row>
    <row r="5" ht="16" customHeight="1" s="40">
      <c r="B5" s="22" t="inlineStr">
        <is>
          <t>Scenario →</t>
        </is>
      </c>
      <c r="C5" s="23" t="inlineStr">
        <is>
          <t>S1: Land Sale Y10</t>
        </is>
      </c>
      <c r="D5" s="23" t="inlineStr">
        <is>
          <t>S2: Land Sale Y5</t>
        </is>
      </c>
      <c r="E5" s="23" t="inlineStr">
        <is>
          <t>S3: REIT Sale Y5</t>
        </is>
      </c>
      <c r="F5" s="23" t="inlineStr">
        <is>
          <t>S4: REIT Sale Y10</t>
        </is>
      </c>
      <c r="G5" s="23" t="inlineStr">
        <is>
          <t>S5: CVS Sale Y7</t>
        </is>
      </c>
      <c r="H5" s="23" t="inlineStr">
        <is>
          <t>S6: CVS Ride-Along</t>
        </is>
      </c>
    </row>
    <row r="6" ht="28" customHeight="1" s="40">
      <c r="B6" s="42" t="inlineStr">
        <is>
          <t>Description</t>
        </is>
      </c>
      <c r="C6" s="24" t="inlineStr">
        <is>
          <t>10-yr · $300/SF land sale to MF developer</t>
        </is>
      </c>
      <c r="D6" s="24" t="inlineStr">
        <is>
          <t>5-yr · $246/SF early MF developer exit</t>
        </is>
      </c>
      <c r="E6" s="24" t="inlineStr">
        <is>
          <t>5-yr · institutional REIT @ 5.5% cap on Y5 NOI</t>
        </is>
      </c>
      <c r="F6" s="24" t="inlineStr">
        <is>
          <t>10-yr · institutional REIT @ 5.5% cap on Y10 NOI</t>
        </is>
      </c>
      <c r="G6" s="24" t="inlineStr">
        <is>
          <t>10-yr · sell CVS parcel Y7 + remainder Y10 land</t>
        </is>
      </c>
      <c r="H6" s="24" t="inlineStr">
        <is>
          <t>10-yr · contribute CVS parcel Y7 + monetize stake Y10</t>
        </is>
      </c>
    </row>
    <row r="8">
      <c r="B8" s="43" t="inlineStr">
        <is>
          <t>EXIT PARAMETERS</t>
        </is>
      </c>
    </row>
    <row r="9">
      <c r="B9" s="25" t="inlineStr">
        <is>
          <t>Exit Year</t>
        </is>
      </c>
      <c r="C9" t="n">
        <v>10</v>
      </c>
      <c r="D9" t="n">
        <v>5</v>
      </c>
      <c r="E9" t="n">
        <v>5</v>
      </c>
      <c r="F9" t="n">
        <v>10</v>
      </c>
      <c r="G9" t="n">
        <v>10</v>
      </c>
      <c r="H9" t="n">
        <v>10</v>
      </c>
    </row>
    <row r="10">
      <c r="B10" s="25" t="inlineStr">
        <is>
          <t>Refi at Y5?</t>
        </is>
      </c>
      <c r="C10" t="inlineStr">
        <is>
          <t>Yes</t>
        </is>
      </c>
      <c r="D10" t="inlineStr">
        <is>
          <t>No</t>
        </is>
      </c>
      <c r="E10" t="inlineStr">
        <is>
          <t>No</t>
        </is>
      </c>
      <c r="F10" t="inlineStr">
        <is>
          <t>Yes</t>
        </is>
      </c>
      <c r="G10" t="inlineStr">
        <is>
          <t>Yes</t>
        </is>
      </c>
      <c r="H10" t="inlineStr">
        <is>
          <t>Yes</t>
        </is>
      </c>
    </row>
    <row r="11">
      <c r="B11" s="25" t="inlineStr">
        <is>
          <t>Exit Mechanism</t>
        </is>
      </c>
      <c r="C11" t="inlineStr">
        <is>
          <t>Land $/SF</t>
        </is>
      </c>
      <c r="D11" t="inlineStr">
        <is>
          <t>Land $/SF</t>
        </is>
      </c>
      <c r="E11" t="inlineStr">
        <is>
          <t>REIT cap</t>
        </is>
      </c>
      <c r="F11" t="inlineStr">
        <is>
          <t>REIT cap</t>
        </is>
      </c>
      <c r="G11" t="inlineStr">
        <is>
          <t>Land $/SF (split)</t>
        </is>
      </c>
      <c r="H11" t="inlineStr">
        <is>
          <t>Land $/SF + dev equity</t>
        </is>
      </c>
    </row>
    <row r="12">
      <c r="B12" s="25" t="inlineStr">
        <is>
          <t>Exit Land $/SF (or REIT cap)</t>
        </is>
      </c>
      <c r="C12" s="26" t="n">
        <v>300</v>
      </c>
      <c r="D12" s="26" t="n">
        <v>246</v>
      </c>
      <c r="E12" s="27" t="n">
        <v>0.055</v>
      </c>
      <c r="F12" s="27" t="n">
        <v>0.055</v>
      </c>
      <c r="G12" s="26" t="n">
        <v>250</v>
      </c>
      <c r="H12" s="26" t="n">
        <v>250</v>
      </c>
    </row>
    <row r="13">
      <c r="B13" s="25" t="inlineStr">
        <is>
          <t>Remainder Land $/SF (S5/S6 Y10)</t>
        </is>
      </c>
      <c r="C13" t="inlineStr">
        <is>
          <t>—</t>
        </is>
      </c>
      <c r="D13" t="inlineStr">
        <is>
          <t>—</t>
        </is>
      </c>
      <c r="E13" t="inlineStr">
        <is>
          <t>—</t>
        </is>
      </c>
      <c r="F13" t="inlineStr">
        <is>
          <t>—</t>
        </is>
      </c>
      <c r="G13" s="26" t="n">
        <v>300</v>
      </c>
      <c r="H13" s="26" t="n">
        <v>300</v>
      </c>
    </row>
    <row r="14">
      <c r="B14" s="25" t="inlineStr">
        <is>
          <t>CVS Contribution Equity Value Y10 (S6)</t>
        </is>
      </c>
      <c r="C14" t="inlineStr">
        <is>
          <t>—</t>
        </is>
      </c>
      <c r="D14" t="inlineStr">
        <is>
          <t>—</t>
        </is>
      </c>
      <c r="E14" t="inlineStr">
        <is>
          <t>—</t>
        </is>
      </c>
      <c r="F14" t="inlineStr">
        <is>
          <t>—</t>
        </is>
      </c>
      <c r="G14" t="inlineStr">
        <is>
          <t>—</t>
        </is>
      </c>
      <c r="H14" s="26" t="n">
        <v>27300000</v>
      </c>
    </row>
    <row r="16">
      <c r="B16" s="43" t="inlineStr">
        <is>
          <t>EXIT CALCULATIONS (DERIVED)</t>
        </is>
      </c>
    </row>
    <row r="17">
      <c r="B17" s="25" t="inlineStr">
        <is>
          <t>Y_exit Gross Sale (or Y7 CVS for S5/S6)</t>
        </is>
      </c>
      <c r="C17" s="28">
        <f>C12*197762</f>
        <v/>
      </c>
      <c r="D17" s="28">
        <f>D12*197762</f>
        <v/>
      </c>
      <c r="E17" s="28">
        <f>'NOI Build'!G15/E12</f>
        <v/>
      </c>
      <c r="F17" s="28">
        <f>'NOI Build'!L15/F12</f>
        <v/>
      </c>
      <c r="G17" s="28">
        <f>G12*64417</f>
        <v/>
      </c>
      <c r="H17" s="28">
        <f>H12*64417</f>
        <v/>
      </c>
    </row>
    <row r="18">
      <c r="B18" s="25" t="inlineStr">
        <is>
          <t>Y10 Remainder Gross (S5/S6)</t>
        </is>
      </c>
      <c r="C18" t="inlineStr">
        <is>
          <t>—</t>
        </is>
      </c>
      <c r="D18" t="inlineStr">
        <is>
          <t>—</t>
        </is>
      </c>
      <c r="E18" t="inlineStr">
        <is>
          <t>—</t>
        </is>
      </c>
      <c r="F18" t="inlineStr">
        <is>
          <t>—</t>
        </is>
      </c>
      <c r="G18" s="28">
        <f>G13*133345</f>
        <v/>
      </c>
      <c r="H18" s="28">
        <f>H13*133345</f>
        <v/>
      </c>
    </row>
    <row r="19">
      <c r="B19" s="25" t="inlineStr">
        <is>
          <t>Sale Costs (2%)</t>
        </is>
      </c>
      <c r="C19" s="29">
        <f>C17*Inputs!$C$59</f>
        <v/>
      </c>
      <c r="D19" s="29">
        <f>D17*Inputs!$C$59</f>
        <v/>
      </c>
      <c r="E19" s="29">
        <f>E17*Inputs!$C$59</f>
        <v/>
      </c>
      <c r="F19" s="29">
        <f>F17*Inputs!$C$59</f>
        <v/>
      </c>
      <c r="G19" s="29">
        <f>(G17+G18)*Inputs!$C$59</f>
        <v/>
      </c>
      <c r="H19" s="29">
        <f>(H17+H18)*Inputs!$C$59</f>
        <v/>
      </c>
    </row>
    <row r="20">
      <c r="B20" s="25" t="inlineStr">
        <is>
          <t>Loan Balance at Exit Year</t>
        </is>
      </c>
      <c r="C20" s="30">
        <f>'Debt Service'!$C$15</f>
        <v/>
      </c>
      <c r="D20" s="30">
        <f>'Debt Service'!$C$8</f>
        <v/>
      </c>
      <c r="E20" s="30">
        <f>'Debt Service'!$C$8</f>
        <v/>
      </c>
      <c r="F20" s="30">
        <f>'Debt Service'!$C$15</f>
        <v/>
      </c>
      <c r="G20" s="30">
        <f>'Debt Service'!$C$15</f>
        <v/>
      </c>
      <c r="H20" s="30">
        <f>'Debt Service'!$C$15</f>
        <v/>
      </c>
    </row>
    <row r="21">
      <c r="B21" s="25" t="inlineStr">
        <is>
          <t>Net Proceeds to Equity</t>
        </is>
      </c>
      <c r="C21" s="31">
        <f>C17-C19-C20</f>
        <v/>
      </c>
      <c r="D21" s="31">
        <f>D17-D19-D20</f>
        <v/>
      </c>
      <c r="E21" s="31">
        <f>E17-E19-E20</f>
        <v/>
      </c>
      <c r="F21" s="31">
        <f>F17-F19-F20</f>
        <v/>
      </c>
      <c r="G21" s="31">
        <f>(G17-(G17*Inputs!$C$59))+(G18-(G18*Inputs!$C$59)-G20)</f>
        <v/>
      </c>
      <c r="H21" s="31">
        <f>0+(H18-(H18*Inputs!$C$59)-H20)+H14</f>
        <v/>
      </c>
    </row>
    <row r="23">
      <c r="B23" s="43" t="inlineStr">
        <is>
          <t>PROJECT CASH FLOW (Y0-Y10)</t>
        </is>
      </c>
    </row>
    <row r="24">
      <c r="B24" t="inlineStr">
        <is>
          <t>Y0 (Closing)</t>
        </is>
      </c>
      <c r="C24" s="32">
        <f>-Inputs!$C$40</f>
        <v/>
      </c>
      <c r="D24" s="32">
        <f>-Inputs!$C$40</f>
        <v/>
      </c>
      <c r="E24" s="32">
        <f>-Inputs!$C$40</f>
        <v/>
      </c>
      <c r="F24" s="32">
        <f>-Inputs!$C$40</f>
        <v/>
      </c>
      <c r="G24" s="32">
        <f>-Inputs!$C$40</f>
        <v/>
      </c>
      <c r="H24" s="32">
        <f>-Inputs!$C$40</f>
        <v/>
      </c>
    </row>
    <row r="25">
      <c r="B25" t="inlineStr">
        <is>
          <t>Y1</t>
        </is>
      </c>
      <c r="C25" s="28">
        <f>'Op CF Returns'!D11</f>
        <v/>
      </c>
      <c r="D25" s="28">
        <f>'Op CF Returns'!D11</f>
        <v/>
      </c>
      <c r="E25" s="28">
        <f>'Op CF Returns'!D11</f>
        <v/>
      </c>
      <c r="F25" s="28">
        <f>'Op CF Returns'!D11</f>
        <v/>
      </c>
      <c r="G25" s="28">
        <f>'Op CF Returns'!D11</f>
        <v/>
      </c>
      <c r="H25" s="28">
        <f>'Op CF Returns'!D11</f>
        <v/>
      </c>
    </row>
    <row r="26">
      <c r="B26" t="inlineStr">
        <is>
          <t>Y2</t>
        </is>
      </c>
      <c r="C26" s="28">
        <f>'Op CF Returns'!E11</f>
        <v/>
      </c>
      <c r="D26" s="28">
        <f>'Op CF Returns'!E11</f>
        <v/>
      </c>
      <c r="E26" s="28">
        <f>'Op CF Returns'!E11</f>
        <v/>
      </c>
      <c r="F26" s="28">
        <f>'Op CF Returns'!E11</f>
        <v/>
      </c>
      <c r="G26" s="28">
        <f>'Op CF Returns'!E11</f>
        <v/>
      </c>
      <c r="H26" s="28">
        <f>'Op CF Returns'!E11</f>
        <v/>
      </c>
    </row>
    <row r="27">
      <c r="B27" t="inlineStr">
        <is>
          <t>Y3</t>
        </is>
      </c>
      <c r="C27" s="28">
        <f>'Op CF Returns'!F11</f>
        <v/>
      </c>
      <c r="D27" s="28">
        <f>'Op CF Returns'!F11</f>
        <v/>
      </c>
      <c r="E27" s="28">
        <f>'Op CF Returns'!F11</f>
        <v/>
      </c>
      <c r="F27" s="28">
        <f>'Op CF Returns'!F11</f>
        <v/>
      </c>
      <c r="G27" s="28">
        <f>'Op CF Returns'!F11</f>
        <v/>
      </c>
      <c r="H27" s="28">
        <f>'Op CF Returns'!F11</f>
        <v/>
      </c>
    </row>
    <row r="28">
      <c r="B28" t="inlineStr">
        <is>
          <t>Y4</t>
        </is>
      </c>
      <c r="C28" s="28">
        <f>'Op CF Returns'!G11</f>
        <v/>
      </c>
      <c r="D28" s="28">
        <f>'Op CF Returns'!G11</f>
        <v/>
      </c>
      <c r="E28" s="28">
        <f>'Op CF Returns'!G11</f>
        <v/>
      </c>
      <c r="F28" s="28">
        <f>'Op CF Returns'!G11</f>
        <v/>
      </c>
      <c r="G28" s="28">
        <f>'Op CF Returns'!G11</f>
        <v/>
      </c>
      <c r="H28" s="28">
        <f>'Op CF Returns'!G11</f>
        <v/>
      </c>
    </row>
    <row r="29">
      <c r="B29" t="inlineStr">
        <is>
          <t>Y5</t>
        </is>
      </c>
      <c r="C29" s="28">
        <f>'Op CF Returns'!H11</f>
        <v/>
      </c>
      <c r="D29" s="33">
        <f>'Op CF Returns'!H11-'Op CF Returns'!H10+D21+'Escrow Roll'!G9</f>
        <v/>
      </c>
      <c r="E29" s="33">
        <f>'Op CF Returns'!H11-'Op CF Returns'!H10+E21+'Escrow Roll'!G9</f>
        <v/>
      </c>
      <c r="F29" s="28">
        <f>'Op CF Returns'!H11</f>
        <v/>
      </c>
      <c r="G29" s="28">
        <f>'Op CF Returns'!H11</f>
        <v/>
      </c>
      <c r="H29" s="28">
        <f>'Op CF Returns'!H11</f>
        <v/>
      </c>
    </row>
    <row r="30">
      <c r="B30" t="inlineStr">
        <is>
          <t>Y6</t>
        </is>
      </c>
      <c r="C30" s="28">
        <f>'Op CF Returns'!I11</f>
        <v/>
      </c>
      <c r="D30" s="28" t="n">
        <v>0</v>
      </c>
      <c r="E30" s="28" t="n">
        <v>0</v>
      </c>
      <c r="F30" s="28">
        <f>'Op CF Returns'!I11</f>
        <v/>
      </c>
      <c r="G30" s="28">
        <f>'Op CF Returns'!I11</f>
        <v/>
      </c>
      <c r="H30" s="28">
        <f>'Op CF Returns'!I11</f>
        <v/>
      </c>
    </row>
    <row r="31">
      <c r="B31" t="inlineStr">
        <is>
          <t>Y7</t>
        </is>
      </c>
      <c r="C31" s="28">
        <f>'Op CF Returns'!J11</f>
        <v/>
      </c>
      <c r="D31" s="28" t="n">
        <v>0</v>
      </c>
      <c r="E31" s="28" t="n">
        <v>0</v>
      </c>
      <c r="F31" s="28">
        <f>'Op CF Returns'!J11</f>
        <v/>
      </c>
      <c r="G31" s="33">
        <f>'Op CF Returns'!I11+(G17-G17*Inputs!$C$59)</f>
        <v/>
      </c>
      <c r="H31" s="28">
        <f>'Op CF Returns'!J11</f>
        <v/>
      </c>
    </row>
    <row r="32">
      <c r="B32" t="inlineStr">
        <is>
          <t>Y8</t>
        </is>
      </c>
      <c r="C32" s="28">
        <f>'Op CF Returns'!K11</f>
        <v/>
      </c>
      <c r="D32" s="28" t="n">
        <v>0</v>
      </c>
      <c r="E32" s="28" t="n">
        <v>0</v>
      </c>
      <c r="F32" s="28">
        <f>'Op CF Returns'!K11</f>
        <v/>
      </c>
      <c r="G32" s="28">
        <f>'Op CF Returns'!K11-(IF(8&lt;Inputs!$C$23,Inputs!$C$20,IF(8=Inputs!$C$23,Inputs!$C$20*Inputs!$C$24/12+Inputs!$C$22*(12-Inputs!$C$24)/12,Inputs!$C$22)))</f>
        <v/>
      </c>
      <c r="H32" s="28">
        <f>'Op CF Returns'!K11-(IF(8&lt;Inputs!$C$23,Inputs!$C$20,IF(8=Inputs!$C$23,Inputs!$C$20*Inputs!$C$24/12+Inputs!$C$22*(12-Inputs!$C$24)/12,Inputs!$C$22)))</f>
        <v/>
      </c>
    </row>
    <row r="33">
      <c r="B33" t="inlineStr">
        <is>
          <t>Y9</t>
        </is>
      </c>
      <c r="C33" s="28">
        <f>'Op CF Returns'!L11</f>
        <v/>
      </c>
      <c r="D33" s="28" t="n">
        <v>0</v>
      </c>
      <c r="E33" s="28" t="n">
        <v>0</v>
      </c>
      <c r="F33" s="28">
        <f>'Op CF Returns'!L11</f>
        <v/>
      </c>
      <c r="G33" s="28">
        <f>'Op CF Returns'!L11-(IF(9&lt;Inputs!$C$23,Inputs!$C$20,IF(9=Inputs!$C$23,Inputs!$C$20*Inputs!$C$24/12+Inputs!$C$22*(12-Inputs!$C$24)/12,Inputs!$C$22)))</f>
        <v/>
      </c>
      <c r="H33" s="28">
        <f>'Op CF Returns'!L11-(IF(9&lt;Inputs!$C$23,Inputs!$C$20,IF(9=Inputs!$C$23,Inputs!$C$20*Inputs!$C$24/12+Inputs!$C$22*(12-Inputs!$C$24)/12,Inputs!$C$22)))</f>
        <v/>
      </c>
    </row>
    <row r="34">
      <c r="B34" t="inlineStr">
        <is>
          <t>Y10</t>
        </is>
      </c>
      <c r="C34" s="33">
        <f>'Op CF Returns'!M11+C21+'Escrow Roll'!L9</f>
        <v/>
      </c>
      <c r="D34" s="28" t="n">
        <v>0</v>
      </c>
      <c r="E34" s="28" t="n">
        <v>0</v>
      </c>
      <c r="F34" s="33">
        <f>'Op CF Returns'!M11+F21+'Escrow Roll'!L9</f>
        <v/>
      </c>
      <c r="G34" s="33">
        <f>'Op CF Returns'!M11-(IF(10&lt;Inputs!$C$23,Inputs!$C$20,IF(10=Inputs!$C$23,Inputs!$C$20*Inputs!$C$24/12+Inputs!$C$22*(12-Inputs!$C$24)/12,Inputs!$C$22)))+(G18-G18*Inputs!$C$59-G20)+'Escrow Roll'!L9</f>
        <v/>
      </c>
      <c r="H34" s="33">
        <f>'Op CF Returns'!M11-(IF(10&lt;Inputs!$C$23,Inputs!$C$20,IF(10=Inputs!$C$23,Inputs!$C$20*Inputs!$C$24/12+Inputs!$C$22*(12-Inputs!$C$24)/12,Inputs!$C$22)))+(H18-H18*Inputs!$C$59-H20)+H14+'Escrow Roll'!L9</f>
        <v/>
      </c>
    </row>
    <row r="36">
      <c r="B36" s="42" t="inlineStr">
        <is>
          <t>+ Exit Proceeds (at exit year)</t>
        </is>
      </c>
    </row>
    <row r="38">
      <c r="B38" s="43" t="inlineStr">
        <is>
          <t>PROJECT-LEVEL RETURNS</t>
        </is>
      </c>
    </row>
    <row r="39" ht="16" customHeight="1" s="40">
      <c r="B39" s="25" t="inlineStr">
        <is>
          <t>Project IRR</t>
        </is>
      </c>
      <c r="C39" s="34">
        <f>IRR(C24:C34)</f>
        <v/>
      </c>
      <c r="D39" s="34">
        <f>IRR(D24:D29)</f>
        <v/>
      </c>
      <c r="E39" s="34">
        <f>IRR(E24:E29)</f>
        <v/>
      </c>
      <c r="F39" s="34">
        <f>IRR(F24:F34)</f>
        <v/>
      </c>
      <c r="G39" s="34">
        <f>IRR(G24:G34)</f>
        <v/>
      </c>
      <c r="H39" s="34">
        <f>IRR(H24:H34)</f>
        <v/>
      </c>
    </row>
    <row r="40">
      <c r="B40" s="25" t="inlineStr">
        <is>
          <t>Project Equity Multiple</t>
        </is>
      </c>
      <c r="C40" s="35">
        <f>SUM(C25:C34)/-C24</f>
        <v/>
      </c>
      <c r="D40" s="35">
        <f>SUM(D25:D29)/-D24</f>
        <v/>
      </c>
      <c r="E40" s="35">
        <f>SUM(E25:E29)/-E24</f>
        <v/>
      </c>
      <c r="F40" s="35">
        <f>SUM(F25:F34)/-F24</f>
        <v/>
      </c>
      <c r="G40" s="35">
        <f>SUM(G25:G34)/-G24</f>
        <v/>
      </c>
      <c r="H40" s="35">
        <f>SUM(H25:H34)/-H24</f>
        <v/>
      </c>
    </row>
    <row r="42">
      <c r="B42" s="43" t="inlineStr">
        <is>
          <t>LP-LEVEL RETURNS (NET OF FEES + PROMOTE)</t>
        </is>
      </c>
    </row>
    <row r="43">
      <c r="B43" t="inlineStr">
        <is>
          <t>Hold Years</t>
        </is>
      </c>
      <c r="C43" t="n">
        <v>10</v>
      </c>
      <c r="D43" t="n">
        <v>5</v>
      </c>
      <c r="E43" t="n">
        <v>5</v>
      </c>
      <c r="F43" t="n">
        <v>10</v>
      </c>
      <c r="G43" t="n">
        <v>10</v>
      </c>
      <c r="H43" t="n">
        <v>10</v>
      </c>
    </row>
    <row r="44">
      <c r="B44" t="inlineStr">
        <is>
          <t>Cum Project CF (Y1..Y_N)</t>
        </is>
      </c>
      <c r="C44" s="30">
        <f>SUM(C25:C34)</f>
        <v/>
      </c>
      <c r="D44" s="30">
        <f>SUM(D25:D29)</f>
        <v/>
      </c>
      <c r="E44" s="30">
        <f>SUM(E25:E29)</f>
        <v/>
      </c>
      <c r="F44" s="30">
        <f>SUM(F25:F34)</f>
        <v/>
      </c>
      <c r="G44" s="30">
        <f>SUM(G25:G34)</f>
        <v/>
      </c>
      <c r="H44" s="30">
        <f>SUM(H25:H34)</f>
        <v/>
      </c>
    </row>
    <row r="45">
      <c r="B45" t="inlineStr">
        <is>
          <t>TVC Net of Mgmt Fees</t>
        </is>
      </c>
      <c r="C45" s="30">
        <f>C44-10*Inputs!$C$40*Inputs!$C$44</f>
        <v/>
      </c>
      <c r="D45" s="30">
        <f>D44-5*Inputs!$C$40*Inputs!$C$44</f>
        <v/>
      </c>
      <c r="E45" s="30">
        <f>E44-5*Inputs!$C$40*Inputs!$C$44</f>
        <v/>
      </c>
      <c r="F45" s="30">
        <f>F44-10*Inputs!$C$40*Inputs!$C$44</f>
        <v/>
      </c>
      <c r="G45" s="30">
        <f>G44-10*Inputs!$C$40*Inputs!$C$44</f>
        <v/>
      </c>
      <c r="H45" s="30">
        <f>H44-10*Inputs!$C$40*Inputs!$C$44</f>
        <v/>
      </c>
    </row>
    <row r="46">
      <c r="B46" t="inlineStr">
        <is>
          <t>T1: Return of Capital</t>
        </is>
      </c>
      <c r="C46" s="30">
        <f>MIN(C45,Inputs!$C$40)</f>
        <v/>
      </c>
      <c r="D46" s="30">
        <f>MIN(D45,Inputs!$C$40)</f>
        <v/>
      </c>
      <c r="E46" s="30">
        <f>MIN(E45,Inputs!$C$40)</f>
        <v/>
      </c>
      <c r="F46" s="30">
        <f>MIN(F45,Inputs!$C$40)</f>
        <v/>
      </c>
      <c r="G46" s="30">
        <f>MIN(G45,Inputs!$C$40)</f>
        <v/>
      </c>
      <c r="H46" s="30">
        <f>MIN(H45,Inputs!$C$40)</f>
        <v/>
      </c>
    </row>
    <row r="47">
      <c r="B47" t="inlineStr">
        <is>
          <t>T2: Pref Return (to 1.25x)</t>
        </is>
      </c>
      <c r="C47" s="30">
        <f>MIN(MAX(C45-Inputs!$C$40,0),Inputs!$C$40*(Inputs!$C$45-1))</f>
        <v/>
      </c>
      <c r="D47" s="30">
        <f>MIN(MAX(D45-Inputs!$C$40,0),Inputs!$C$40*(Inputs!$C$45-1))</f>
        <v/>
      </c>
      <c r="E47" s="30">
        <f>MIN(MAX(E45-Inputs!$C$40,0),Inputs!$C$40*(Inputs!$C$45-1))</f>
        <v/>
      </c>
      <c r="F47" s="30">
        <f>MIN(MAX(F45-Inputs!$C$40,0),Inputs!$C$40*(Inputs!$C$45-1))</f>
        <v/>
      </c>
      <c r="G47" s="30">
        <f>MIN(MAX(G45-Inputs!$C$40,0),Inputs!$C$40*(Inputs!$C$45-1))</f>
        <v/>
      </c>
      <c r="H47" s="30">
        <f>MIN(MAX(H45-Inputs!$C$40,0),Inputs!$C$40*(Inputs!$C$45-1))</f>
        <v/>
      </c>
    </row>
    <row r="48">
      <c r="B48" t="inlineStr">
        <is>
          <t>T3 LP Share (80% of excess)</t>
        </is>
      </c>
      <c r="C48" s="30">
        <f>MAX(C45-Inputs!$C$40*Inputs!$C$45,0)*Inputs!$C$46</f>
        <v/>
      </c>
      <c r="D48" s="30">
        <f>MAX(D45-Inputs!$C$40*Inputs!$C$45,0)*Inputs!$C$46</f>
        <v/>
      </c>
      <c r="E48" s="30">
        <f>MAX(E45-Inputs!$C$40*Inputs!$C$45,0)*Inputs!$C$46</f>
        <v/>
      </c>
      <c r="F48" s="30">
        <f>MAX(F45-Inputs!$C$40*Inputs!$C$45,0)*Inputs!$C$46</f>
        <v/>
      </c>
      <c r="G48" s="30">
        <f>MAX(G45-Inputs!$C$40*Inputs!$C$45,0)*Inputs!$C$46</f>
        <v/>
      </c>
      <c r="H48" s="30">
        <f>MAX(H45-Inputs!$C$40*Inputs!$C$45,0)*Inputs!$C$46</f>
        <v/>
      </c>
    </row>
    <row r="49">
      <c r="B49" s="25" t="inlineStr">
        <is>
          <t>Total to LP</t>
        </is>
      </c>
      <c r="C49" s="31">
        <f>C46+C47+C48</f>
        <v/>
      </c>
      <c r="D49" s="31">
        <f>D46+D47+D48</f>
        <v/>
      </c>
      <c r="E49" s="31">
        <f>E46+E47+E48</f>
        <v/>
      </c>
      <c r="F49" s="31">
        <f>F46+F47+F48</f>
        <v/>
      </c>
      <c r="G49" s="31">
        <f>G46+G47+G48</f>
        <v/>
      </c>
      <c r="H49" s="31">
        <f>H46+H47+H48</f>
        <v/>
      </c>
    </row>
    <row r="51">
      <c r="B51" s="42" t="inlineStr">
        <is>
          <t>LP Cash Flow Y0</t>
        </is>
      </c>
      <c r="C51" s="36">
        <f>-Inputs!$C$40</f>
        <v/>
      </c>
      <c r="D51" s="36">
        <f>-Inputs!$C$40</f>
        <v/>
      </c>
      <c r="E51" s="36">
        <f>-Inputs!$C$40</f>
        <v/>
      </c>
      <c r="F51" s="36">
        <f>-Inputs!$C$40</f>
        <v/>
      </c>
      <c r="G51" s="36">
        <f>-Inputs!$C$40</f>
        <v/>
      </c>
      <c r="H51" s="36">
        <f>-Inputs!$C$40</f>
        <v/>
      </c>
    </row>
    <row r="52">
      <c r="B52" s="42" t="inlineStr">
        <is>
          <t>LP Y1</t>
        </is>
      </c>
      <c r="C52" s="37">
        <f>C25-Inputs!$C$40*Inputs!$C$44</f>
        <v/>
      </c>
      <c r="D52" s="37">
        <f>D25-Inputs!$C$40*Inputs!$C$44</f>
        <v/>
      </c>
      <c r="E52" s="37">
        <f>E25-Inputs!$C$40*Inputs!$C$44</f>
        <v/>
      </c>
      <c r="F52" s="37">
        <f>F25-Inputs!$C$40*Inputs!$C$44</f>
        <v/>
      </c>
      <c r="G52" s="37">
        <f>G25-Inputs!$C$40*Inputs!$C$44</f>
        <v/>
      </c>
      <c r="H52" s="37">
        <f>H25-Inputs!$C$40*Inputs!$C$44</f>
        <v/>
      </c>
    </row>
    <row r="53">
      <c r="B53" s="42" t="inlineStr">
        <is>
          <t>LP Y2</t>
        </is>
      </c>
      <c r="C53" s="37">
        <f>C26-Inputs!$C$40*Inputs!$C$44</f>
        <v/>
      </c>
      <c r="D53" s="37">
        <f>D26-Inputs!$C$40*Inputs!$C$44</f>
        <v/>
      </c>
      <c r="E53" s="37">
        <f>E26-Inputs!$C$40*Inputs!$C$44</f>
        <v/>
      </c>
      <c r="F53" s="37">
        <f>F26-Inputs!$C$40*Inputs!$C$44</f>
        <v/>
      </c>
      <c r="G53" s="37">
        <f>G26-Inputs!$C$40*Inputs!$C$44</f>
        <v/>
      </c>
      <c r="H53" s="37">
        <f>H26-Inputs!$C$40*Inputs!$C$44</f>
        <v/>
      </c>
    </row>
    <row r="54">
      <c r="B54" s="42" t="inlineStr">
        <is>
          <t>LP Y3</t>
        </is>
      </c>
      <c r="C54" s="37">
        <f>C27-Inputs!$C$40*Inputs!$C$44</f>
        <v/>
      </c>
      <c r="D54" s="37">
        <f>D27-Inputs!$C$40*Inputs!$C$44</f>
        <v/>
      </c>
      <c r="E54" s="37">
        <f>E27-Inputs!$C$40*Inputs!$C$44</f>
        <v/>
      </c>
      <c r="F54" s="37">
        <f>F27-Inputs!$C$40*Inputs!$C$44</f>
        <v/>
      </c>
      <c r="G54" s="37">
        <f>G27-Inputs!$C$40*Inputs!$C$44</f>
        <v/>
      </c>
      <c r="H54" s="37">
        <f>H27-Inputs!$C$40*Inputs!$C$44</f>
        <v/>
      </c>
    </row>
    <row r="55">
      <c r="B55" s="42" t="inlineStr">
        <is>
          <t>LP Y4</t>
        </is>
      </c>
      <c r="C55" s="37">
        <f>C28-Inputs!$C$40*Inputs!$C$44</f>
        <v/>
      </c>
      <c r="D55" s="37">
        <f>D28-Inputs!$C$40*Inputs!$C$44</f>
        <v/>
      </c>
      <c r="E55" s="37">
        <f>E28-Inputs!$C$40*Inputs!$C$44</f>
        <v/>
      </c>
      <c r="F55" s="37">
        <f>F28-Inputs!$C$40*Inputs!$C$44</f>
        <v/>
      </c>
      <c r="G55" s="37">
        <f>G28-Inputs!$C$40*Inputs!$C$44</f>
        <v/>
      </c>
      <c r="H55" s="37">
        <f>H28-Inputs!$C$40*Inputs!$C$44</f>
        <v/>
      </c>
    </row>
    <row r="56">
      <c r="B56" s="42" t="inlineStr">
        <is>
          <t>LP Y5</t>
        </is>
      </c>
      <c r="C56" s="37">
        <f>C29-Inputs!$C$40*Inputs!$C$44</f>
        <v/>
      </c>
      <c r="D56" s="37">
        <f>D49-SUM(D52:D55)</f>
        <v/>
      </c>
      <c r="E56" s="37">
        <f>E49-SUM(E52:E55)</f>
        <v/>
      </c>
      <c r="F56" s="37">
        <f>F29-Inputs!$C$40*Inputs!$C$44</f>
        <v/>
      </c>
      <c r="G56" s="37">
        <f>G29-Inputs!$C$40*Inputs!$C$44</f>
        <v/>
      </c>
      <c r="H56" s="37">
        <f>H29-Inputs!$C$40*Inputs!$C$44</f>
        <v/>
      </c>
    </row>
    <row r="57">
      <c r="B57" s="42" t="inlineStr">
        <is>
          <t>LP Y6</t>
        </is>
      </c>
      <c r="C57" s="37">
        <f>C30-Inputs!$C$40*Inputs!$C$44</f>
        <v/>
      </c>
      <c r="D57" s="37" t="n">
        <v>0</v>
      </c>
      <c r="E57" s="37" t="n">
        <v>0</v>
      </c>
      <c r="F57" s="37">
        <f>F30-Inputs!$C$40*Inputs!$C$44</f>
        <v/>
      </c>
      <c r="G57" s="37">
        <f>G30-Inputs!$C$40*Inputs!$C$44</f>
        <v/>
      </c>
      <c r="H57" s="37">
        <f>H30-Inputs!$C$40*Inputs!$C$44</f>
        <v/>
      </c>
    </row>
    <row r="58">
      <c r="B58" s="42" t="inlineStr">
        <is>
          <t>LP Y7</t>
        </is>
      </c>
      <c r="C58" s="37">
        <f>C31-Inputs!$C$40*Inputs!$C$44</f>
        <v/>
      </c>
      <c r="D58" s="37" t="n">
        <v>0</v>
      </c>
      <c r="E58" s="37" t="n">
        <v>0</v>
      </c>
      <c r="F58" s="37">
        <f>F31-Inputs!$C$40*Inputs!$C$44</f>
        <v/>
      </c>
      <c r="G58" s="37">
        <f>G31-Inputs!$C$40*Inputs!$C$44</f>
        <v/>
      </c>
      <c r="H58" s="37">
        <f>H31-Inputs!$C$40*Inputs!$C$44</f>
        <v/>
      </c>
    </row>
    <row r="59">
      <c r="B59" s="42" t="inlineStr">
        <is>
          <t>LP Y8</t>
        </is>
      </c>
      <c r="C59" s="37">
        <f>C32-Inputs!$C$40*Inputs!$C$44</f>
        <v/>
      </c>
      <c r="D59" s="37" t="n">
        <v>0</v>
      </c>
      <c r="E59" s="37" t="n">
        <v>0</v>
      </c>
      <c r="F59" s="37">
        <f>F32-Inputs!$C$40*Inputs!$C$44</f>
        <v/>
      </c>
      <c r="G59" s="37">
        <f>G32-Inputs!$C$40*Inputs!$C$44</f>
        <v/>
      </c>
      <c r="H59" s="37">
        <f>H32-Inputs!$C$40*Inputs!$C$44</f>
        <v/>
      </c>
    </row>
    <row r="60">
      <c r="B60" s="42" t="inlineStr">
        <is>
          <t>LP Y9</t>
        </is>
      </c>
      <c r="C60" s="37">
        <f>C33-Inputs!$C$40*Inputs!$C$44</f>
        <v/>
      </c>
      <c r="D60" s="37" t="n">
        <v>0</v>
      </c>
      <c r="E60" s="37" t="n">
        <v>0</v>
      </c>
      <c r="F60" s="37">
        <f>F33-Inputs!$C$40*Inputs!$C$44</f>
        <v/>
      </c>
      <c r="G60" s="37">
        <f>G33-Inputs!$C$40*Inputs!$C$44</f>
        <v/>
      </c>
      <c r="H60" s="37">
        <f>H33-Inputs!$C$40*Inputs!$C$44</f>
        <v/>
      </c>
    </row>
    <row r="61">
      <c r="B61" s="42" t="inlineStr">
        <is>
          <t>LP Y10</t>
        </is>
      </c>
      <c r="C61" s="37">
        <f>C49-SUM(C52:C60)</f>
        <v/>
      </c>
      <c r="D61" s="37" t="n">
        <v>0</v>
      </c>
      <c r="E61" s="37" t="n">
        <v>0</v>
      </c>
      <c r="F61" s="37">
        <f>F49-SUM(F52:F60)</f>
        <v/>
      </c>
      <c r="G61" s="37">
        <f>G49-SUM(G52:G60)</f>
        <v/>
      </c>
      <c r="H61" s="37">
        <f>H49-SUM(H52:H60)</f>
        <v/>
      </c>
    </row>
    <row r="63" ht="16" customHeight="1" s="40">
      <c r="B63" s="25" t="inlineStr">
        <is>
          <t>LP IRR (net)</t>
        </is>
      </c>
      <c r="C63" s="34">
        <f>IRR(C51:C61)</f>
        <v/>
      </c>
      <c r="D63" s="34">
        <f>IRR(D51:D56)</f>
        <v/>
      </c>
      <c r="E63" s="34">
        <f>IRR(E51:E56)</f>
        <v/>
      </c>
      <c r="F63" s="34">
        <f>IRR(F51:F61)</f>
        <v/>
      </c>
      <c r="G63" s="34">
        <f>IRR(G51:G61)</f>
        <v/>
      </c>
      <c r="H63" s="34">
        <f>IRR(H51:H61)</f>
        <v/>
      </c>
    </row>
    <row r="64">
      <c r="B64" s="25" t="inlineStr">
        <is>
          <t>LP Equity Multiple (net)</t>
        </is>
      </c>
      <c r="C64" s="38">
        <f>C49/Inputs!$C$40</f>
        <v/>
      </c>
      <c r="D64" s="38">
        <f>D49/Inputs!$C$40</f>
        <v/>
      </c>
      <c r="E64" s="38">
        <f>E49/Inputs!$C$40</f>
        <v/>
      </c>
      <c r="F64" s="38">
        <f>F49/Inputs!$C$40</f>
        <v/>
      </c>
      <c r="G64" s="38">
        <f>G49/Inputs!$C$40</f>
        <v/>
      </c>
      <c r="H64" s="38">
        <f>H49/Inputs!$C$40</f>
        <v/>
      </c>
    </row>
    <row r="66">
      <c r="B66" s="43" t="inlineStr">
        <is>
          <t>AUDIT NOTES</t>
        </is>
      </c>
    </row>
    <row r="67">
      <c r="B67" s="44" t="inlineStr">
        <is>
          <t>• Operating cash flows (rows 25-34) pull from 'Op CF Returns'!11 — Project Op CF pre-exit</t>
        </is>
      </c>
    </row>
    <row r="68">
      <c r="B68" s="44" t="inlineStr">
        <is>
          <t xml:space="preserve">  Op CF row 11 = NOI − Debt Service − Op CF Shortfall + T-bill Interest + (Refi at Y5)</t>
        </is>
      </c>
    </row>
    <row r="69">
      <c r="B69" s="44" t="inlineStr">
        <is>
          <t>• S2 / S3 exclude refi at Y5 (sell at Y5, no refi cash). Y6-Y10 cells zero out.</t>
        </is>
      </c>
    </row>
    <row r="70">
      <c r="B70" s="44" t="inlineStr">
        <is>
          <t>• S5 (CVS Y7 sale): Y7 receives CVS proceeds net of 2% costs. Y8-Y10 NOI excludes CVS rent.</t>
        </is>
      </c>
    </row>
    <row r="71">
      <c r="B71" s="44" t="inlineStr">
        <is>
          <t>• S6 (CVS contribution Y7): no Y7 cash (non-cash equity exchange). Y10 = remainder sale + dev equity stake.</t>
        </is>
      </c>
    </row>
    <row r="72">
      <c r="B72" s="44" t="inlineStr">
        <is>
          <t>• Loan balance at exit: 5-yr scenarios use Y5 P&amp;I-amortized balance; 10-yr use Y10 refi loan balance.</t>
        </is>
      </c>
    </row>
    <row r="73">
      <c r="B73" s="44" t="inlineStr">
        <is>
          <t>• LP IRR applies the waterfall: T1 ROC → T2 Pref (1.25×) → T3 80% LP / 20% GP. Mgmt fee 1.25% on equity.</t>
        </is>
      </c>
    </row>
  </sheetData>
  <mergeCells count="16">
    <mergeCell ref="B36:H36"/>
    <mergeCell ref="B8:H8"/>
    <mergeCell ref="B66:H66"/>
    <mergeCell ref="B72:H72"/>
    <mergeCell ref="B71:H71"/>
    <mergeCell ref="B68:H68"/>
    <mergeCell ref="B73:H73"/>
    <mergeCell ref="B69:H69"/>
    <mergeCell ref="B70:H70"/>
    <mergeCell ref="B38:H38"/>
    <mergeCell ref="B2:H2"/>
    <mergeCell ref="B16:H16"/>
    <mergeCell ref="B42:H42"/>
    <mergeCell ref="B3:H3"/>
    <mergeCell ref="B67:H67"/>
    <mergeCell ref="B23:H2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B2:K54"/>
  <sheetViews>
    <sheetView showGridLines="0" workbookViewId="0">
      <selection activeCell="A1" sqref="A1"/>
    </sheetView>
  </sheetViews>
  <sheetFormatPr baseColWidth="8" defaultRowHeight="15"/>
  <cols>
    <col width="2.5" customWidth="1" style="40" min="1" max="1"/>
    <col width="38" customWidth="1" style="40" min="2" max="2"/>
    <col width="13" customWidth="1" style="40" min="3" max="3"/>
    <col width="13" customWidth="1" style="40" min="4" max="4"/>
    <col width="13" customWidth="1" style="40" min="5" max="5"/>
    <col width="13" customWidth="1" style="40" min="6" max="6"/>
    <col width="13" customWidth="1" style="40" min="7" max="7"/>
    <col width="13" customWidth="1" style="40" min="8" max="8"/>
    <col width="13" customWidth="1" style="40" min="9" max="9"/>
    <col width="13" customWidth="1" style="40" min="10" max="10"/>
    <col width="13" customWidth="1" style="40" min="11" max="11"/>
  </cols>
  <sheetData>
    <row r="2" ht="24" customHeight="1" s="40">
      <c r="B2" s="52" t="inlineStr">
        <is>
          <t>SENSITIVITY ANALYSIS — LAND PRICE</t>
        </is>
      </c>
    </row>
    <row r="3">
      <c r="B3" s="66" t="inlineStr">
        <is>
          <t>LP IRR (net of fees and promote) across a range of exit land prices. All values dynamic from Inputs.</t>
        </is>
      </c>
    </row>
    <row r="5">
      <c r="B5" s="67" t="inlineStr">
        <is>
          <t>SHARED INPUTS  (linked to model)</t>
        </is>
      </c>
    </row>
    <row r="6">
      <c r="B6" s="68" t="inlineStr">
        <is>
          <t>Land Total SF</t>
        </is>
      </c>
      <c r="C6" s="69">
        <f>Inputs!$C$57</f>
        <v/>
      </c>
    </row>
    <row r="7">
      <c r="B7" s="68" t="inlineStr">
        <is>
          <t>Sale Costs %</t>
        </is>
      </c>
      <c r="C7" s="70">
        <f>Inputs!$C$59</f>
        <v/>
      </c>
    </row>
    <row r="8">
      <c r="B8" s="68" t="inlineStr">
        <is>
          <t>Loan Payoff (Y10)</t>
        </is>
      </c>
      <c r="C8" s="71">
        <f>'Debt Service'!$C$15</f>
        <v/>
      </c>
    </row>
    <row r="9">
      <c r="B9" s="68" t="inlineStr">
        <is>
          <t>LP Equity</t>
        </is>
      </c>
      <c r="C9" s="71">
        <f>Inputs!$C$40</f>
        <v/>
      </c>
    </row>
    <row r="10">
      <c r="B10" s="68" t="inlineStr">
        <is>
          <t>Annual Mgmt Fee</t>
        </is>
      </c>
      <c r="C10" s="71">
        <f>$C$9*Inputs!$C$44</f>
        <v/>
      </c>
    </row>
    <row r="11">
      <c r="B11" s="68" t="inlineStr">
        <is>
          <t>Pref Multiple</t>
        </is>
      </c>
      <c r="C11" s="72">
        <f>Inputs!$C$45</f>
        <v/>
      </c>
    </row>
    <row r="12">
      <c r="B12" s="68" t="inlineStr">
        <is>
          <t>LP Profit Share</t>
        </is>
      </c>
      <c r="C12" s="70">
        <f>Inputs!$C$46</f>
        <v/>
      </c>
    </row>
    <row r="13">
      <c r="B13" s="68" t="inlineStr">
        <is>
          <t>Escrow Returned (Y10)</t>
        </is>
      </c>
      <c r="C13" s="71">
        <f>'Escrow Roll'!$L$9</f>
        <v/>
      </c>
    </row>
    <row r="14">
      <c r="B14" s="68" t="inlineStr">
        <is>
          <t>Sum Op CF Y1-Y9</t>
        </is>
      </c>
      <c r="C14" s="71">
        <f>SUM('Op CF Returns'!$D$11:$L$11)</f>
        <v/>
      </c>
    </row>
    <row r="15">
      <c r="B15" s="68" t="inlineStr">
        <is>
          <t>Op CF Y10 (no exit)</t>
        </is>
      </c>
      <c r="C15" s="71">
        <f>'Op CF Returns'!$M$11</f>
        <v/>
      </c>
    </row>
    <row r="17">
      <c r="B17" s="67" t="inlineStr">
        <is>
          <t>LAND PRICE SCENARIOS</t>
        </is>
      </c>
    </row>
    <row r="18">
      <c r="B18" s="73" t="inlineStr">
        <is>
          <t>Land $/SF (EXIT)</t>
        </is>
      </c>
      <c r="C18" s="74" t="n">
        <v>200</v>
      </c>
      <c r="D18" s="74" t="n">
        <v>225</v>
      </c>
      <c r="E18" s="74" t="n">
        <v>250</v>
      </c>
      <c r="F18" s="74" t="n">
        <v>275</v>
      </c>
      <c r="G18" s="74" t="n">
        <v>300</v>
      </c>
      <c r="H18" s="74" t="n">
        <v>325</v>
      </c>
      <c r="I18" s="74" t="n">
        <v>350</v>
      </c>
      <c r="J18" s="74" t="n">
        <v>375</v>
      </c>
      <c r="K18" s="74" t="n">
        <v>400</v>
      </c>
    </row>
    <row r="19">
      <c r="B19" s="68" t="inlineStr">
        <is>
          <t>Gross Exit Value</t>
        </is>
      </c>
      <c r="C19" s="75">
        <f>$C$18*$C$6</f>
        <v/>
      </c>
      <c r="D19" s="75">
        <f>$D$18*$C$6</f>
        <v/>
      </c>
      <c r="E19" s="75">
        <f>$E$18*$C$6</f>
        <v/>
      </c>
      <c r="F19" s="75">
        <f>$F$18*$C$6</f>
        <v/>
      </c>
      <c r="G19" s="75">
        <f>$G$18*$C$6</f>
        <v/>
      </c>
      <c r="H19" s="75">
        <f>$H$18*$C$6</f>
        <v/>
      </c>
      <c r="I19" s="75">
        <f>$I$18*$C$6</f>
        <v/>
      </c>
      <c r="J19" s="75">
        <f>$J$18*$C$6</f>
        <v/>
      </c>
      <c r="K19" s="75">
        <f>$K$18*$C$6</f>
        <v/>
      </c>
    </row>
    <row r="20">
      <c r="B20" s="68" t="inlineStr">
        <is>
          <t>− Sale Costs</t>
        </is>
      </c>
      <c r="C20" s="75">
        <f>-C19*$C$7</f>
        <v/>
      </c>
      <c r="D20" s="75">
        <f>-D19*$C$7</f>
        <v/>
      </c>
      <c r="E20" s="75">
        <f>-E19*$C$7</f>
        <v/>
      </c>
      <c r="F20" s="75">
        <f>-F19*$C$7</f>
        <v/>
      </c>
      <c r="G20" s="75">
        <f>-G19*$C$7</f>
        <v/>
      </c>
      <c r="H20" s="75">
        <f>-H19*$C$7</f>
        <v/>
      </c>
      <c r="I20" s="75">
        <f>-I19*$C$7</f>
        <v/>
      </c>
      <c r="J20" s="75">
        <f>-J19*$C$7</f>
        <v/>
      </c>
      <c r="K20" s="75">
        <f>-K19*$C$7</f>
        <v/>
      </c>
    </row>
    <row r="21">
      <c r="B21" s="68" t="inlineStr">
        <is>
          <t>− Loan Payoff (Y10)</t>
        </is>
      </c>
      <c r="C21" s="75">
        <f>-$C$8</f>
        <v/>
      </c>
      <c r="D21" s="75">
        <f>-$C$8</f>
        <v/>
      </c>
      <c r="E21" s="75">
        <f>-$C$8</f>
        <v/>
      </c>
      <c r="F21" s="75">
        <f>-$C$8</f>
        <v/>
      </c>
      <c r="G21" s="75">
        <f>-$C$8</f>
        <v/>
      </c>
      <c r="H21" s="75">
        <f>-$C$8</f>
        <v/>
      </c>
      <c r="I21" s="75">
        <f>-$C$8</f>
        <v/>
      </c>
      <c r="J21" s="75">
        <f>-$C$8</f>
        <v/>
      </c>
      <c r="K21" s="75">
        <f>-$C$8</f>
        <v/>
      </c>
    </row>
    <row r="22">
      <c r="B22" s="68" t="inlineStr">
        <is>
          <t>Net Sale Proceeds</t>
        </is>
      </c>
      <c r="C22" s="75">
        <f>C19+C20+C21</f>
        <v/>
      </c>
      <c r="D22" s="75">
        <f>D19+D20+D21</f>
        <v/>
      </c>
      <c r="E22" s="75">
        <f>E19+E20+E21</f>
        <v/>
      </c>
      <c r="F22" s="75">
        <f>F19+F20+F21</f>
        <v/>
      </c>
      <c r="G22" s="75">
        <f>G19+G20+G21</f>
        <v/>
      </c>
      <c r="H22" s="75">
        <f>H19+H20+H21</f>
        <v/>
      </c>
      <c r="I22" s="75">
        <f>I19+I20+I21</f>
        <v/>
      </c>
      <c r="J22" s="75">
        <f>J19+J20+J21</f>
        <v/>
      </c>
      <c r="K22" s="75">
        <f>K19+K20+K21</f>
        <v/>
      </c>
    </row>
    <row r="23">
      <c r="B23" s="68" t="inlineStr">
        <is>
          <t>+ Escrow Returned</t>
        </is>
      </c>
      <c r="C23" s="75">
        <f>$C$13</f>
        <v/>
      </c>
      <c r="D23" s="75">
        <f>$C$13</f>
        <v/>
      </c>
      <c r="E23" s="75">
        <f>$C$13</f>
        <v/>
      </c>
      <c r="F23" s="75">
        <f>$C$13</f>
        <v/>
      </c>
      <c r="G23" s="75">
        <f>$C$13</f>
        <v/>
      </c>
      <c r="H23" s="75">
        <f>$C$13</f>
        <v/>
      </c>
      <c r="I23" s="75">
        <f>$C$13</f>
        <v/>
      </c>
      <c r="J23" s="75">
        <f>$C$13</f>
        <v/>
      </c>
      <c r="K23" s="75">
        <f>$C$13</f>
        <v/>
      </c>
    </row>
    <row r="24">
      <c r="B24" s="68" t="inlineStr">
        <is>
          <t>Y10 Exit Cash</t>
        </is>
      </c>
      <c r="C24" s="75">
        <f>C22+C23</f>
        <v/>
      </c>
      <c r="D24" s="75">
        <f>D22+D23</f>
        <v/>
      </c>
      <c r="E24" s="75">
        <f>E22+E23</f>
        <v/>
      </c>
      <c r="F24" s="75">
        <f>F22+F23</f>
        <v/>
      </c>
      <c r="G24" s="75">
        <f>G22+G23</f>
        <v/>
      </c>
      <c r="H24" s="75">
        <f>H22+H23</f>
        <v/>
      </c>
      <c r="I24" s="75">
        <f>I22+I23</f>
        <v/>
      </c>
      <c r="J24" s="75">
        <f>J22+J23</f>
        <v/>
      </c>
      <c r="K24" s="75">
        <f>K22+K23</f>
        <v/>
      </c>
    </row>
    <row r="26">
      <c r="B26" s="67" t="inlineStr">
        <is>
          <t>WATERFALL  (per scenario)</t>
        </is>
      </c>
    </row>
    <row r="27">
      <c r="B27" s="68" t="inlineStr">
        <is>
          <t>Project CF Y10 (ops + exit)</t>
        </is>
      </c>
      <c r="C27" s="75">
        <f>$C$15+C24</f>
        <v/>
      </c>
      <c r="D27" s="75">
        <f>$C$15+D24</f>
        <v/>
      </c>
      <c r="E27" s="75">
        <f>$C$15+E24</f>
        <v/>
      </c>
      <c r="F27" s="75">
        <f>$C$15+F24</f>
        <v/>
      </c>
      <c r="G27" s="75">
        <f>$C$15+G24</f>
        <v/>
      </c>
      <c r="H27" s="75">
        <f>$C$15+H24</f>
        <v/>
      </c>
      <c r="I27" s="75">
        <f>$C$15+I24</f>
        <v/>
      </c>
      <c r="J27" s="75">
        <f>$C$15+J24</f>
        <v/>
      </c>
      <c r="K27" s="75">
        <f>$C$15+K24</f>
        <v/>
      </c>
    </row>
    <row r="28">
      <c r="B28" s="68" t="inlineStr">
        <is>
          <t>TVC (Σ Project CF Y1-Y10)</t>
        </is>
      </c>
      <c r="C28" s="75">
        <f>$C$14+C27</f>
        <v/>
      </c>
      <c r="D28" s="75">
        <f>$C$14+D27</f>
        <v/>
      </c>
      <c r="E28" s="75">
        <f>$C$14+E27</f>
        <v/>
      </c>
      <c r="F28" s="75">
        <f>$C$14+F27</f>
        <v/>
      </c>
      <c r="G28" s="75">
        <f>$C$14+G27</f>
        <v/>
      </c>
      <c r="H28" s="75">
        <f>$C$14+H27</f>
        <v/>
      </c>
      <c r="I28" s="75">
        <f>$C$14+I27</f>
        <v/>
      </c>
      <c r="J28" s="75">
        <f>$C$14+J27</f>
        <v/>
      </c>
      <c r="K28" s="75">
        <f>$C$14+K27</f>
        <v/>
      </c>
    </row>
    <row r="29">
      <c r="B29" s="68" t="inlineStr">
        <is>
          <t>TVC net of mgmt fees</t>
        </is>
      </c>
      <c r="C29" s="75">
        <f>C28-10*$C$10</f>
        <v/>
      </c>
      <c r="D29" s="75">
        <f>D28-10*$C$10</f>
        <v/>
      </c>
      <c r="E29" s="75">
        <f>E28-10*$C$10</f>
        <v/>
      </c>
      <c r="F29" s="75">
        <f>F28-10*$C$10</f>
        <v/>
      </c>
      <c r="G29" s="75">
        <f>G28-10*$C$10</f>
        <v/>
      </c>
      <c r="H29" s="75">
        <f>H28-10*$C$10</f>
        <v/>
      </c>
      <c r="I29" s="75">
        <f>I28-10*$C$10</f>
        <v/>
      </c>
      <c r="J29" s="75">
        <f>J28-10*$C$10</f>
        <v/>
      </c>
      <c r="K29" s="75">
        <f>K28-10*$C$10</f>
        <v/>
      </c>
    </row>
    <row r="30">
      <c r="B30" s="68" t="inlineStr">
        <is>
          <t>T1: Return of Capital</t>
        </is>
      </c>
      <c r="C30" s="75">
        <f>MIN(C29,$C$9)</f>
        <v/>
      </c>
      <c r="D30" s="75">
        <f>MIN(D29,$C$9)</f>
        <v/>
      </c>
      <c r="E30" s="75">
        <f>MIN(E29,$C$9)</f>
        <v/>
      </c>
      <c r="F30" s="75">
        <f>MIN(F29,$C$9)</f>
        <v/>
      </c>
      <c r="G30" s="75">
        <f>MIN(G29,$C$9)</f>
        <v/>
      </c>
      <c r="H30" s="75">
        <f>MIN(H29,$C$9)</f>
        <v/>
      </c>
      <c r="I30" s="75">
        <f>MIN(I29,$C$9)</f>
        <v/>
      </c>
      <c r="J30" s="75">
        <f>MIN(J29,$C$9)</f>
        <v/>
      </c>
      <c r="K30" s="75">
        <f>MIN(K29,$C$9)</f>
        <v/>
      </c>
    </row>
    <row r="31">
      <c r="B31" s="68" t="inlineStr">
        <is>
          <t>T2: Pref Return (to 1.25×)</t>
        </is>
      </c>
      <c r="C31" s="75">
        <f>MIN(MAX(C29-$C$9,0),$C$9*($C$11-1))</f>
        <v/>
      </c>
      <c r="D31" s="75">
        <f>MIN(MAX(D29-$C$9,0),$C$9*($C$11-1))</f>
        <v/>
      </c>
      <c r="E31" s="75">
        <f>MIN(MAX(E29-$C$9,0),$C$9*($C$11-1))</f>
        <v/>
      </c>
      <c r="F31" s="75">
        <f>MIN(MAX(F29-$C$9,0),$C$9*($C$11-1))</f>
        <v/>
      </c>
      <c r="G31" s="75">
        <f>MIN(MAX(G29-$C$9,0),$C$9*($C$11-1))</f>
        <v/>
      </c>
      <c r="H31" s="75">
        <f>MIN(MAX(H29-$C$9,0),$C$9*($C$11-1))</f>
        <v/>
      </c>
      <c r="I31" s="75">
        <f>MIN(MAX(I29-$C$9,0),$C$9*($C$11-1))</f>
        <v/>
      </c>
      <c r="J31" s="75">
        <f>MIN(MAX(J29-$C$9,0),$C$9*($C$11-1))</f>
        <v/>
      </c>
      <c r="K31" s="75">
        <f>MIN(MAX(K29-$C$9,0),$C$9*($C$11-1))</f>
        <v/>
      </c>
    </row>
    <row r="32">
      <c r="B32" s="68" t="inlineStr">
        <is>
          <t>T3: Excess (above 1.25×)</t>
        </is>
      </c>
      <c r="C32" s="75">
        <f>MAX(C29-$C$9*$C$11,0)</f>
        <v/>
      </c>
      <c r="D32" s="75">
        <f>MAX(D29-$C$9*$C$11,0)</f>
        <v/>
      </c>
      <c r="E32" s="75">
        <f>MAX(E29-$C$9*$C$11,0)</f>
        <v/>
      </c>
      <c r="F32" s="75">
        <f>MAX(F29-$C$9*$C$11,0)</f>
        <v/>
      </c>
      <c r="G32" s="75">
        <f>MAX(G29-$C$9*$C$11,0)</f>
        <v/>
      </c>
      <c r="H32" s="75">
        <f>MAX(H29-$C$9*$C$11,0)</f>
        <v/>
      </c>
      <c r="I32" s="75">
        <f>MAX(I29-$C$9*$C$11,0)</f>
        <v/>
      </c>
      <c r="J32" s="75">
        <f>MAX(J29-$C$9*$C$11,0)</f>
        <v/>
      </c>
      <c r="K32" s="75">
        <f>MAX(K29-$C$9*$C$11,0)</f>
        <v/>
      </c>
    </row>
    <row r="33">
      <c r="B33" s="68" t="inlineStr">
        <is>
          <t xml:space="preserve">   T3 LP Share (80%)</t>
        </is>
      </c>
      <c r="C33" s="75">
        <f>C32*$C$12</f>
        <v/>
      </c>
      <c r="D33" s="75">
        <f>D32*$C$12</f>
        <v/>
      </c>
      <c r="E33" s="75">
        <f>E32*$C$12</f>
        <v/>
      </c>
      <c r="F33" s="75">
        <f>F32*$C$12</f>
        <v/>
      </c>
      <c r="G33" s="75">
        <f>G32*$C$12</f>
        <v/>
      </c>
      <c r="H33" s="75">
        <f>H32*$C$12</f>
        <v/>
      </c>
      <c r="I33" s="75">
        <f>I32*$C$12</f>
        <v/>
      </c>
      <c r="J33" s="75">
        <f>J32*$C$12</f>
        <v/>
      </c>
      <c r="K33" s="75">
        <f>K32*$C$12</f>
        <v/>
      </c>
    </row>
    <row r="34">
      <c r="B34" s="68" t="inlineStr">
        <is>
          <t>Total to LP</t>
        </is>
      </c>
      <c r="C34" s="75">
        <f>C30+C31+C33</f>
        <v/>
      </c>
      <c r="D34" s="75">
        <f>D30+D31+D33</f>
        <v/>
      </c>
      <c r="E34" s="75">
        <f>E30+E31+E33</f>
        <v/>
      </c>
      <c r="F34" s="75">
        <f>F30+F31+F33</f>
        <v/>
      </c>
      <c r="G34" s="75">
        <f>G30+G31+G33</f>
        <v/>
      </c>
      <c r="H34" s="75">
        <f>H30+H31+H33</f>
        <v/>
      </c>
      <c r="I34" s="75">
        <f>I30+I31+I33</f>
        <v/>
      </c>
      <c r="J34" s="75">
        <f>J30+J31+J33</f>
        <v/>
      </c>
      <c r="K34" s="75">
        <f>K30+K31+K33</f>
        <v/>
      </c>
    </row>
    <row r="36">
      <c r="B36" s="67" t="inlineStr">
        <is>
          <t>LP CASH FLOW STREAM  (for IRR)</t>
        </is>
      </c>
    </row>
    <row r="37">
      <c r="B37" s="68" t="inlineStr">
        <is>
          <t>Y0 (Equity)</t>
        </is>
      </c>
      <c r="C37" s="75">
        <f>-$C$9</f>
        <v/>
      </c>
      <c r="D37" s="75">
        <f>-$C$9</f>
        <v/>
      </c>
      <c r="E37" s="75">
        <f>-$C$9</f>
        <v/>
      </c>
      <c r="F37" s="75">
        <f>-$C$9</f>
        <v/>
      </c>
      <c r="G37" s="75">
        <f>-$C$9</f>
        <v/>
      </c>
      <c r="H37" s="75">
        <f>-$C$9</f>
        <v/>
      </c>
      <c r="I37" s="75">
        <f>-$C$9</f>
        <v/>
      </c>
      <c r="J37" s="75">
        <f>-$C$9</f>
        <v/>
      </c>
      <c r="K37" s="75">
        <f>-$C$9</f>
        <v/>
      </c>
    </row>
    <row r="38">
      <c r="B38" s="68" t="inlineStr">
        <is>
          <t>Y1</t>
        </is>
      </c>
      <c r="C38" s="75">
        <f>'Op CF Returns'!$D$11-$C$10</f>
        <v/>
      </c>
      <c r="D38" s="75">
        <f>'Op CF Returns'!$D$11-$C$10</f>
        <v/>
      </c>
      <c r="E38" s="75">
        <f>'Op CF Returns'!$D$11-$C$10</f>
        <v/>
      </c>
      <c r="F38" s="75">
        <f>'Op CF Returns'!$D$11-$C$10</f>
        <v/>
      </c>
      <c r="G38" s="75">
        <f>'Op CF Returns'!$D$11-$C$10</f>
        <v/>
      </c>
      <c r="H38" s="75">
        <f>'Op CF Returns'!$D$11-$C$10</f>
        <v/>
      </c>
      <c r="I38" s="75">
        <f>'Op CF Returns'!$D$11-$C$10</f>
        <v/>
      </c>
      <c r="J38" s="75">
        <f>'Op CF Returns'!$D$11-$C$10</f>
        <v/>
      </c>
      <c r="K38" s="75">
        <f>'Op CF Returns'!$D$11-$C$10</f>
        <v/>
      </c>
    </row>
    <row r="39">
      <c r="B39" s="68" t="inlineStr">
        <is>
          <t>Y2</t>
        </is>
      </c>
      <c r="C39" s="75">
        <f>'Op CF Returns'!$E$11-$C$10</f>
        <v/>
      </c>
      <c r="D39" s="75">
        <f>'Op CF Returns'!$E$11-$C$10</f>
        <v/>
      </c>
      <c r="E39" s="75">
        <f>'Op CF Returns'!$E$11-$C$10</f>
        <v/>
      </c>
      <c r="F39" s="75">
        <f>'Op CF Returns'!$E$11-$C$10</f>
        <v/>
      </c>
      <c r="G39" s="75">
        <f>'Op CF Returns'!$E$11-$C$10</f>
        <v/>
      </c>
      <c r="H39" s="75">
        <f>'Op CF Returns'!$E$11-$C$10</f>
        <v/>
      </c>
      <c r="I39" s="75">
        <f>'Op CF Returns'!$E$11-$C$10</f>
        <v/>
      </c>
      <c r="J39" s="75">
        <f>'Op CF Returns'!$E$11-$C$10</f>
        <v/>
      </c>
      <c r="K39" s="75">
        <f>'Op CF Returns'!$E$11-$C$10</f>
        <v/>
      </c>
    </row>
    <row r="40">
      <c r="B40" s="68" t="inlineStr">
        <is>
          <t>Y3</t>
        </is>
      </c>
      <c r="C40" s="75">
        <f>'Op CF Returns'!$F$11-$C$10</f>
        <v/>
      </c>
      <c r="D40" s="75">
        <f>'Op CF Returns'!$F$11-$C$10</f>
        <v/>
      </c>
      <c r="E40" s="75">
        <f>'Op CF Returns'!$F$11-$C$10</f>
        <v/>
      </c>
      <c r="F40" s="75">
        <f>'Op CF Returns'!$F$11-$C$10</f>
        <v/>
      </c>
      <c r="G40" s="75">
        <f>'Op CF Returns'!$F$11-$C$10</f>
        <v/>
      </c>
      <c r="H40" s="75">
        <f>'Op CF Returns'!$F$11-$C$10</f>
        <v/>
      </c>
      <c r="I40" s="75">
        <f>'Op CF Returns'!$F$11-$C$10</f>
        <v/>
      </c>
      <c r="J40" s="75">
        <f>'Op CF Returns'!$F$11-$C$10</f>
        <v/>
      </c>
      <c r="K40" s="75">
        <f>'Op CF Returns'!$F$11-$C$10</f>
        <v/>
      </c>
    </row>
    <row r="41">
      <c r="B41" s="68" t="inlineStr">
        <is>
          <t>Y4</t>
        </is>
      </c>
      <c r="C41" s="75">
        <f>'Op CF Returns'!$G$11-$C$10</f>
        <v/>
      </c>
      <c r="D41" s="75">
        <f>'Op CF Returns'!$G$11-$C$10</f>
        <v/>
      </c>
      <c r="E41" s="75">
        <f>'Op CF Returns'!$G$11-$C$10</f>
        <v/>
      </c>
      <c r="F41" s="75">
        <f>'Op CF Returns'!$G$11-$C$10</f>
        <v/>
      </c>
      <c r="G41" s="75">
        <f>'Op CF Returns'!$G$11-$C$10</f>
        <v/>
      </c>
      <c r="H41" s="75">
        <f>'Op CF Returns'!$G$11-$C$10</f>
        <v/>
      </c>
      <c r="I41" s="75">
        <f>'Op CF Returns'!$G$11-$C$10</f>
        <v/>
      </c>
      <c r="J41" s="75">
        <f>'Op CF Returns'!$G$11-$C$10</f>
        <v/>
      </c>
      <c r="K41" s="75">
        <f>'Op CF Returns'!$G$11-$C$10</f>
        <v/>
      </c>
    </row>
    <row r="42">
      <c r="B42" s="68" t="inlineStr">
        <is>
          <t>Y5</t>
        </is>
      </c>
      <c r="C42" s="75">
        <f>'Op CF Returns'!$H$11-$C$10</f>
        <v/>
      </c>
      <c r="D42" s="75">
        <f>'Op CF Returns'!$H$11-$C$10</f>
        <v/>
      </c>
      <c r="E42" s="75">
        <f>'Op CF Returns'!$H$11-$C$10</f>
        <v/>
      </c>
      <c r="F42" s="75">
        <f>'Op CF Returns'!$H$11-$C$10</f>
        <v/>
      </c>
      <c r="G42" s="75">
        <f>'Op CF Returns'!$H$11-$C$10</f>
        <v/>
      </c>
      <c r="H42" s="75">
        <f>'Op CF Returns'!$H$11-$C$10</f>
        <v/>
      </c>
      <c r="I42" s="75">
        <f>'Op CF Returns'!$H$11-$C$10</f>
        <v/>
      </c>
      <c r="J42" s="75">
        <f>'Op CF Returns'!$H$11-$C$10</f>
        <v/>
      </c>
      <c r="K42" s="75">
        <f>'Op CF Returns'!$H$11-$C$10</f>
        <v/>
      </c>
    </row>
    <row r="43">
      <c r="B43" s="68" t="inlineStr">
        <is>
          <t>Y6</t>
        </is>
      </c>
      <c r="C43" s="75">
        <f>'Op CF Returns'!$I$11-$C$10</f>
        <v/>
      </c>
      <c r="D43" s="75">
        <f>'Op CF Returns'!$I$11-$C$10</f>
        <v/>
      </c>
      <c r="E43" s="75">
        <f>'Op CF Returns'!$I$11-$C$10</f>
        <v/>
      </c>
      <c r="F43" s="75">
        <f>'Op CF Returns'!$I$11-$C$10</f>
        <v/>
      </c>
      <c r="G43" s="75">
        <f>'Op CF Returns'!$I$11-$C$10</f>
        <v/>
      </c>
      <c r="H43" s="75">
        <f>'Op CF Returns'!$I$11-$C$10</f>
        <v/>
      </c>
      <c r="I43" s="75">
        <f>'Op CF Returns'!$I$11-$C$10</f>
        <v/>
      </c>
      <c r="J43" s="75">
        <f>'Op CF Returns'!$I$11-$C$10</f>
        <v/>
      </c>
      <c r="K43" s="75">
        <f>'Op CF Returns'!$I$11-$C$10</f>
        <v/>
      </c>
    </row>
    <row r="44">
      <c r="B44" s="68" t="inlineStr">
        <is>
          <t>Y7</t>
        </is>
      </c>
      <c r="C44" s="75">
        <f>'Op CF Returns'!$J$11-$C$10</f>
        <v/>
      </c>
      <c r="D44" s="75">
        <f>'Op CF Returns'!$J$11-$C$10</f>
        <v/>
      </c>
      <c r="E44" s="75">
        <f>'Op CF Returns'!$J$11-$C$10</f>
        <v/>
      </c>
      <c r="F44" s="75">
        <f>'Op CF Returns'!$J$11-$C$10</f>
        <v/>
      </c>
      <c r="G44" s="75">
        <f>'Op CF Returns'!$J$11-$C$10</f>
        <v/>
      </c>
      <c r="H44" s="75">
        <f>'Op CF Returns'!$J$11-$C$10</f>
        <v/>
      </c>
      <c r="I44" s="75">
        <f>'Op CF Returns'!$J$11-$C$10</f>
        <v/>
      </c>
      <c r="J44" s="75">
        <f>'Op CF Returns'!$J$11-$C$10</f>
        <v/>
      </c>
      <c r="K44" s="75">
        <f>'Op CF Returns'!$J$11-$C$10</f>
        <v/>
      </c>
    </row>
    <row r="45">
      <c r="B45" s="68" t="inlineStr">
        <is>
          <t>Y8</t>
        </is>
      </c>
      <c r="C45" s="75">
        <f>'Op CF Returns'!$K$11-$C$10</f>
        <v/>
      </c>
      <c r="D45" s="75">
        <f>'Op CF Returns'!$K$11-$C$10</f>
        <v/>
      </c>
      <c r="E45" s="75">
        <f>'Op CF Returns'!$K$11-$C$10</f>
        <v/>
      </c>
      <c r="F45" s="75">
        <f>'Op CF Returns'!$K$11-$C$10</f>
        <v/>
      </c>
      <c r="G45" s="75">
        <f>'Op CF Returns'!$K$11-$C$10</f>
        <v/>
      </c>
      <c r="H45" s="75">
        <f>'Op CF Returns'!$K$11-$C$10</f>
        <v/>
      </c>
      <c r="I45" s="75">
        <f>'Op CF Returns'!$K$11-$C$10</f>
        <v/>
      </c>
      <c r="J45" s="75">
        <f>'Op CF Returns'!$K$11-$C$10</f>
        <v/>
      </c>
      <c r="K45" s="75">
        <f>'Op CF Returns'!$K$11-$C$10</f>
        <v/>
      </c>
    </row>
    <row r="46">
      <c r="B46" s="68" t="inlineStr">
        <is>
          <t>Y9</t>
        </is>
      </c>
      <c r="C46" s="75">
        <f>'Op CF Returns'!$L$11-$C$10</f>
        <v/>
      </c>
      <c r="D46" s="75">
        <f>'Op CF Returns'!$L$11-$C$10</f>
        <v/>
      </c>
      <c r="E46" s="75">
        <f>'Op CF Returns'!$L$11-$C$10</f>
        <v/>
      </c>
      <c r="F46" s="75">
        <f>'Op CF Returns'!$L$11-$C$10</f>
        <v/>
      </c>
      <c r="G46" s="75">
        <f>'Op CF Returns'!$L$11-$C$10</f>
        <v/>
      </c>
      <c r="H46" s="75">
        <f>'Op CF Returns'!$L$11-$C$10</f>
        <v/>
      </c>
      <c r="I46" s="75">
        <f>'Op CF Returns'!$L$11-$C$10</f>
        <v/>
      </c>
      <c r="J46" s="75">
        <f>'Op CF Returns'!$L$11-$C$10</f>
        <v/>
      </c>
      <c r="K46" s="75">
        <f>'Op CF Returns'!$L$11-$C$10</f>
        <v/>
      </c>
    </row>
    <row r="47">
      <c r="B47" s="68" t="inlineStr">
        <is>
          <t>Y10 (residual to LP)</t>
        </is>
      </c>
      <c r="C47" s="75">
        <f>C34-SUM(C38:C46)</f>
        <v/>
      </c>
      <c r="D47" s="75">
        <f>D34-SUM(D38:D46)</f>
        <v/>
      </c>
      <c r="E47" s="75">
        <f>E34-SUM(E38:E46)</f>
        <v/>
      </c>
      <c r="F47" s="75">
        <f>F34-SUM(F38:F46)</f>
        <v/>
      </c>
      <c r="G47" s="75">
        <f>G34-SUM(G38:G46)</f>
        <v/>
      </c>
      <c r="H47" s="75">
        <f>H34-SUM(H38:H46)</f>
        <v/>
      </c>
      <c r="I47" s="75">
        <f>I34-SUM(I38:I46)</f>
        <v/>
      </c>
      <c r="J47" s="75">
        <f>J34-SUM(J38:J46)</f>
        <v/>
      </c>
      <c r="K47" s="75">
        <f>K34-SUM(K38:K46)</f>
        <v/>
      </c>
    </row>
    <row r="49">
      <c r="B49" s="67" t="inlineStr">
        <is>
          <t>RETURNS  (per scenario)</t>
        </is>
      </c>
    </row>
    <row r="50">
      <c r="B50" s="76" t="inlineStr">
        <is>
          <t>LP IRR (net of fees + promote)</t>
        </is>
      </c>
      <c r="C50" s="77">
        <f>IRR(C37:C47)</f>
        <v/>
      </c>
      <c r="D50" s="77">
        <f>IRR(D37:D47)</f>
        <v/>
      </c>
      <c r="E50" s="77">
        <f>IRR(E37:E47)</f>
        <v/>
      </c>
      <c r="F50" s="77">
        <f>IRR(F37:F47)</f>
        <v/>
      </c>
      <c r="G50" s="77">
        <f>IRR(G37:G47)</f>
        <v/>
      </c>
      <c r="H50" s="77">
        <f>IRR(H37:H47)</f>
        <v/>
      </c>
      <c r="I50" s="77">
        <f>IRR(I37:I47)</f>
        <v/>
      </c>
      <c r="J50" s="77">
        <f>IRR(J37:J47)</f>
        <v/>
      </c>
      <c r="K50" s="77">
        <f>IRR(K37:K47)</f>
        <v/>
      </c>
    </row>
    <row r="51">
      <c r="B51" s="76" t="inlineStr">
        <is>
          <t>LP Equity Multiple (net)</t>
        </is>
      </c>
      <c r="C51" s="78">
        <f>C34/$C$9</f>
        <v/>
      </c>
      <c r="D51" s="78">
        <f>D34/$C$9</f>
        <v/>
      </c>
      <c r="E51" s="78">
        <f>E34/$C$9</f>
        <v/>
      </c>
      <c r="F51" s="78">
        <f>F34/$C$9</f>
        <v/>
      </c>
      <c r="G51" s="78">
        <f>G34/$C$9</f>
        <v/>
      </c>
      <c r="H51" s="78">
        <f>H34/$C$9</f>
        <v/>
      </c>
      <c r="I51" s="78">
        <f>I34/$C$9</f>
        <v/>
      </c>
      <c r="J51" s="78">
        <f>J34/$C$9</f>
        <v/>
      </c>
      <c r="K51" s="78">
        <f>K34/$C$9</f>
        <v/>
      </c>
    </row>
    <row r="52">
      <c r="B52" s="68" t="inlineStr">
        <is>
          <t>Project Equity Multiple (gross)</t>
        </is>
      </c>
      <c r="C52" s="79">
        <f>(C27+$C$14)/$C$9</f>
        <v/>
      </c>
      <c r="D52" s="79">
        <f>(D27+$C$14)/$C$9</f>
        <v/>
      </c>
      <c r="E52" s="79">
        <f>(E27+$C$14)/$C$9</f>
        <v/>
      </c>
      <c r="F52" s="79">
        <f>(F27+$C$14)/$C$9</f>
        <v/>
      </c>
      <c r="G52" s="79">
        <f>(G27+$C$14)/$C$9</f>
        <v/>
      </c>
      <c r="H52" s="79">
        <f>(H27+$C$14)/$C$9</f>
        <v/>
      </c>
      <c r="I52" s="79">
        <f>(I27+$C$14)/$C$9</f>
        <v/>
      </c>
      <c r="J52" s="79">
        <f>(J27+$C$14)/$C$9</f>
        <v/>
      </c>
      <c r="K52" s="79">
        <f>(K27+$C$14)/$C$9</f>
        <v/>
      </c>
    </row>
    <row r="54">
      <c r="B54" s="66" t="inlineStr">
        <is>
          <t>Base case: $300/SF land sale → 15.7% LP IRR / 3.11× EM. Even at $250/SF (17% below base), LP IRR remains in the low teens.</t>
        </is>
      </c>
    </row>
  </sheetData>
  <mergeCells count="8">
    <mergeCell ref="B49:K49"/>
    <mergeCell ref="B26:K26"/>
    <mergeCell ref="B17:K17"/>
    <mergeCell ref="B36:K36"/>
    <mergeCell ref="B2:K2"/>
    <mergeCell ref="B54:K54"/>
    <mergeCell ref="B3:K3"/>
    <mergeCell ref="B5:K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B2:E23"/>
  <sheetViews>
    <sheetView showGridLines="0" workbookViewId="0">
      <selection activeCell="A1" sqref="A1"/>
    </sheetView>
  </sheetViews>
  <sheetFormatPr baseColWidth="8" defaultRowHeight="15"/>
  <cols>
    <col width="2.5" customWidth="1" style="40" min="1" max="1"/>
    <col width="38" customWidth="1" style="40" min="2" max="2"/>
    <col width="22" customWidth="1" style="40" min="3" max="3"/>
    <col width="22" customWidth="1" style="40" min="4" max="4"/>
    <col width="22" customWidth="1" style="40" min="5" max="5"/>
  </cols>
  <sheetData>
    <row r="2" ht="24" customHeight="1" s="40">
      <c r="B2" s="52" t="inlineStr">
        <is>
          <t>SENSITIVITY ANALYSIS — HOLD PERIOD</t>
        </is>
      </c>
    </row>
    <row r="3">
      <c r="B3" s="66" t="inlineStr">
        <is>
          <t>Project (gross) and LP (net of fees and promote) returns across alternative exit timing and structures.</t>
        </is>
      </c>
    </row>
    <row r="5" ht="48" customHeight="1" s="40">
      <c r="B5" s="67" t="inlineStr">
        <is>
          <t>EXIT SCENARIO</t>
        </is>
      </c>
      <c r="C5" s="80" t="inlineStr">
        <is>
          <t>BASE
10-YR · $300/SF
(Land Sale)</t>
        </is>
      </c>
      <c r="D5" s="80" t="inlineStr">
        <is>
          <t>SCENARIO 2A
5-YR · $246/SF
(MF Developer)</t>
        </is>
      </c>
      <c r="E5" s="80" t="inlineStr">
        <is>
          <t>SCENARIO 2B
5-YR · 5.5% Cap
(REIT)</t>
        </is>
      </c>
    </row>
    <row r="6">
      <c r="B6" s="68" t="inlineStr">
        <is>
          <t>Project IRR (gross)</t>
        </is>
      </c>
      <c r="C6" s="77">
        <f>'Exit Scenarios'!C39</f>
        <v/>
      </c>
      <c r="D6" s="77">
        <f>'Exit Scenarios'!D39</f>
        <v/>
      </c>
      <c r="E6" s="77">
        <f>'Exit Scenarios'!E39</f>
        <v/>
      </c>
    </row>
    <row r="7">
      <c r="B7" s="68" t="inlineStr">
        <is>
          <t>Project Equity Multiple</t>
        </is>
      </c>
      <c r="C7" s="81">
        <f>'Exit Scenarios'!C40</f>
        <v/>
      </c>
      <c r="D7" s="81">
        <f>'Exit Scenarios'!D40</f>
        <v/>
      </c>
      <c r="E7" s="81">
        <f>'Exit Scenarios'!E40</f>
        <v/>
      </c>
    </row>
    <row r="8">
      <c r="B8" s="68" t="inlineStr">
        <is>
          <t>LP IRR (net)</t>
        </is>
      </c>
      <c r="C8" s="77">
        <f>'Exit Scenarios'!C63</f>
        <v/>
      </c>
      <c r="D8" s="77">
        <f>'Exit Scenarios'!D63</f>
        <v/>
      </c>
      <c r="E8" s="77">
        <f>'Exit Scenarios'!E63</f>
        <v/>
      </c>
    </row>
    <row r="9">
      <c r="B9" s="68" t="inlineStr">
        <is>
          <t>LP Equity Multiple (net)</t>
        </is>
      </c>
      <c r="C9" s="81">
        <f>'Exit Scenarios'!C64</f>
        <v/>
      </c>
      <c r="D9" s="81">
        <f>'Exit Scenarios'!D64</f>
        <v/>
      </c>
      <c r="E9" s="81">
        <f>'Exit Scenarios'!E64</f>
        <v/>
      </c>
    </row>
    <row r="11" ht="22" customHeight="1" s="40">
      <c r="B11" s="73">
        <f>CONCATENATE("TARGET CASE: 5-yr / $246/SF MF Developer  →  ",TEXT(D6,"0.00%")," Project IRR  /  ",TEXT(D7,"0.00""x""")," EM   (",TEXT(D8,"0.00%")," LP IRR / ",TEXT(D9,"0.00""x""")," net of promote)")</f>
        <v/>
      </c>
    </row>
    <row r="14">
      <c r="B14" s="67" t="inlineStr">
        <is>
          <t>EXIT MECHANICS  (dollars recovered per scenario)</t>
        </is>
      </c>
    </row>
    <row r="15">
      <c r="B15" s="68" t="inlineStr">
        <is>
          <t>Exit Year</t>
        </is>
      </c>
      <c r="C15" s="82">
        <f>'Exit Scenarios'!C9</f>
        <v/>
      </c>
      <c r="D15" s="82">
        <f>'Exit Scenarios'!D9</f>
        <v/>
      </c>
      <c r="E15" s="82">
        <f>'Exit Scenarios'!E9</f>
        <v/>
      </c>
    </row>
    <row r="16">
      <c r="B16" s="68" t="inlineStr">
        <is>
          <t>Exit Mechanism</t>
        </is>
      </c>
      <c r="C16" s="83">
        <f>'Exit Scenarios'!C11</f>
        <v/>
      </c>
      <c r="D16" s="83">
        <f>'Exit Scenarios'!D11</f>
        <v/>
      </c>
      <c r="E16" s="83">
        <f>'Exit Scenarios'!E11</f>
        <v/>
      </c>
    </row>
    <row r="17">
      <c r="B17" s="68" t="inlineStr">
        <is>
          <t>Exit Driver (Land $/SF or Cap)</t>
        </is>
      </c>
      <c r="C17" s="84">
        <f>'Exit Scenarios'!C12</f>
        <v/>
      </c>
      <c r="D17" s="84">
        <f>'Exit Scenarios'!D12</f>
        <v/>
      </c>
      <c r="E17" s="85">
        <f>'Exit Scenarios'!E12</f>
        <v/>
      </c>
    </row>
    <row r="18">
      <c r="B18" s="68" t="inlineStr">
        <is>
          <t>Gross Sale Price</t>
        </is>
      </c>
      <c r="C18" s="75">
        <f>'Exit Scenarios'!C17</f>
        <v/>
      </c>
      <c r="D18" s="75">
        <f>'Exit Scenarios'!D17</f>
        <v/>
      </c>
      <c r="E18" s="75">
        <f>'Exit Scenarios'!E17</f>
        <v/>
      </c>
    </row>
    <row r="19">
      <c r="B19" s="68" t="inlineStr">
        <is>
          <t>− Sale Costs (2%)</t>
        </is>
      </c>
      <c r="C19" s="75">
        <f>-'Exit Scenarios'!C19</f>
        <v/>
      </c>
      <c r="D19" s="75">
        <f>-'Exit Scenarios'!D19</f>
        <v/>
      </c>
      <c r="E19" s="75">
        <f>-'Exit Scenarios'!E19</f>
        <v/>
      </c>
    </row>
    <row r="20">
      <c r="B20" s="68" t="inlineStr">
        <is>
          <t>− Loan Payoff at Exit</t>
        </is>
      </c>
      <c r="C20" s="75">
        <f>-'Exit Scenarios'!C20</f>
        <v/>
      </c>
      <c r="D20" s="75">
        <f>-'Exit Scenarios'!D20</f>
        <v/>
      </c>
      <c r="E20" s="75">
        <f>-'Exit Scenarios'!E20</f>
        <v/>
      </c>
    </row>
    <row r="21">
      <c r="B21" s="68" t="inlineStr">
        <is>
          <t>Net Sale Proceeds</t>
        </is>
      </c>
      <c r="C21" s="75">
        <f>'Exit Scenarios'!C21</f>
        <v/>
      </c>
      <c r="D21" s="75">
        <f>'Exit Scenarios'!D21</f>
        <v/>
      </c>
      <c r="E21" s="75">
        <f>'Exit Scenarios'!E21</f>
        <v/>
      </c>
    </row>
    <row r="23">
      <c r="B23" s="66" t="inlineStr">
        <is>
          <t>All formulas pull from Exit Scenarios sheet. Edit Inputs to flex any driver — this table updates.</t>
        </is>
      </c>
    </row>
  </sheetData>
  <mergeCells count="5">
    <mergeCell ref="B23:E23"/>
    <mergeCell ref="B11:E11"/>
    <mergeCell ref="B3:E3"/>
    <mergeCell ref="B2:E2"/>
    <mergeCell ref="B14:E14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B2:E22"/>
  <sheetViews>
    <sheetView showGridLines="0" workbookViewId="0">
      <selection activeCell="A1" sqref="A1"/>
    </sheetView>
  </sheetViews>
  <sheetFormatPr baseColWidth="8" defaultRowHeight="15"/>
  <cols>
    <col width="2.5" customWidth="1" style="40" min="1" max="1"/>
    <col width="38" customWidth="1" style="40" min="2" max="2"/>
    <col width="22" customWidth="1" style="40" min="3" max="3"/>
    <col width="22" customWidth="1" style="40" min="4" max="4"/>
    <col width="22" customWidth="1" style="40" min="5" max="5"/>
  </cols>
  <sheetData>
    <row r="2" ht="24" customHeight="1" s="40">
      <c r="B2" s="52" t="inlineStr">
        <is>
          <t>SENSITIVITY ANALYSIS — CVS PARCEL STRATEGIES</t>
        </is>
      </c>
    </row>
    <row r="3">
      <c r="B3" s="66" t="inlineStr">
        <is>
          <t>Standalone monetization paths for the 1.48-acre / 64,417 SF CVS parcel — sell or contribute to MF developer.</t>
        </is>
      </c>
    </row>
    <row r="5" ht="48" customHeight="1" s="40">
      <c r="B5" s="67" t="inlineStr">
        <is>
          <t>EXIT SCENARIO</t>
        </is>
      </c>
      <c r="C5" s="80" t="inlineStr">
        <is>
          <t>BASE
10-YR · $300/SF
(Full Assemblage)</t>
        </is>
      </c>
      <c r="D5" s="80" t="inlineStr">
        <is>
          <t>SCENARIO 3
CVS Y7 Sale
($250 CVS + $300 Remainder)</t>
        </is>
      </c>
      <c r="E5" s="80" t="inlineStr">
        <is>
          <t>SCENARIO 4
CVS Contribution
(Ride-Along Equity)</t>
        </is>
      </c>
    </row>
    <row r="6">
      <c r="B6" s="68" t="inlineStr">
        <is>
          <t>Project IRR (gross)</t>
        </is>
      </c>
      <c r="C6" s="77">
        <f>'Exit Scenarios'!C39</f>
        <v/>
      </c>
      <c r="D6" s="77">
        <f>'Exit Scenarios'!G39</f>
        <v/>
      </c>
      <c r="E6" s="77">
        <f>'Exit Scenarios'!H39</f>
        <v/>
      </c>
    </row>
    <row r="7">
      <c r="B7" s="68" t="inlineStr">
        <is>
          <t>Project Equity Multiple</t>
        </is>
      </c>
      <c r="C7" s="81">
        <f>'Exit Scenarios'!C40</f>
        <v/>
      </c>
      <c r="D7" s="81">
        <f>'Exit Scenarios'!G40</f>
        <v/>
      </c>
      <c r="E7" s="81">
        <f>'Exit Scenarios'!H40</f>
        <v/>
      </c>
    </row>
    <row r="8">
      <c r="B8" s="68" t="inlineStr">
        <is>
          <t>LP IRR (net)</t>
        </is>
      </c>
      <c r="C8" s="77">
        <f>'Exit Scenarios'!C63</f>
        <v/>
      </c>
      <c r="D8" s="77">
        <f>'Exit Scenarios'!G63</f>
        <v/>
      </c>
      <c r="E8" s="77">
        <f>'Exit Scenarios'!H63</f>
        <v/>
      </c>
    </row>
    <row r="9">
      <c r="B9" s="68" t="inlineStr">
        <is>
          <t>LP Equity Multiple (net)</t>
        </is>
      </c>
      <c r="C9" s="81">
        <f>'Exit Scenarios'!C64</f>
        <v/>
      </c>
      <c r="D9" s="81">
        <f>'Exit Scenarios'!G64</f>
        <v/>
      </c>
      <c r="E9" s="81">
        <f>'Exit Scenarios'!H64</f>
        <v/>
      </c>
    </row>
    <row r="11" ht="22" customHeight="1" s="40">
      <c r="B11" s="73" t="inlineStr">
        <is>
          <t>TARGET CASE: CVS Land Contribution (Y10 ride-along)  →  ~20% Project IRR  /  ~4.2× EM   (~17% LP IRR / ~3.5× net of promote)</t>
        </is>
      </c>
    </row>
    <row r="14">
      <c r="B14" s="67" t="inlineStr">
        <is>
          <t>EXIT MECHANICS  (key assumptions per scenario)</t>
        </is>
      </c>
    </row>
    <row r="15">
      <c r="B15" s="68" t="inlineStr">
        <is>
          <t>CVS Parcel Land $/SF</t>
        </is>
      </c>
      <c r="C15" s="86" t="inlineStr">
        <is>
          <t>—</t>
        </is>
      </c>
      <c r="D15" s="75">
        <f>'Exit Scenarios'!G12</f>
        <v/>
      </c>
      <c r="E15" s="75">
        <f>'Exit Scenarios'!H12</f>
        <v/>
      </c>
    </row>
    <row r="16">
      <c r="B16" s="68" t="inlineStr">
        <is>
          <t>Remainder Land $/SF (Y10)</t>
        </is>
      </c>
      <c r="C16" s="75">
        <f>'Exit Scenarios'!C12</f>
        <v/>
      </c>
      <c r="D16" s="75">
        <f>'Exit Scenarios'!G13</f>
        <v/>
      </c>
      <c r="E16" s="75">
        <f>'Exit Scenarios'!H13</f>
        <v/>
      </c>
    </row>
    <row r="17">
      <c r="B17" s="68" t="inlineStr">
        <is>
          <t>CVS Y7 Gross Sale</t>
        </is>
      </c>
      <c r="C17" s="75" t="inlineStr">
        <is>
          <t>"—"</t>
        </is>
      </c>
      <c r="D17" s="75">
        <f>'Exit Scenarios'!G17</f>
        <v/>
      </c>
      <c r="E17" s="75">
        <f>'Exit Scenarios'!H17</f>
        <v/>
      </c>
    </row>
    <row r="18">
      <c r="B18" s="68" t="inlineStr">
        <is>
          <t>Y10 Remainder Gross Sale</t>
        </is>
      </c>
      <c r="C18" s="75">
        <f>'Exit Scenarios'!C17</f>
        <v/>
      </c>
      <c r="D18" s="75">
        <f>'Exit Scenarios'!G18</f>
        <v/>
      </c>
      <c r="E18" s="75">
        <f>'Exit Scenarios'!H18</f>
        <v/>
      </c>
    </row>
    <row r="19">
      <c r="B19" s="68" t="inlineStr">
        <is>
          <t>CVS Contribution Equity (Y10)</t>
        </is>
      </c>
      <c r="C19" s="75" t="inlineStr">
        <is>
          <t>"—"</t>
        </is>
      </c>
      <c r="D19" s="75" t="inlineStr">
        <is>
          <t>"—"</t>
        </is>
      </c>
      <c r="E19" s="75">
        <f>'Exit Scenarios'!H14</f>
        <v/>
      </c>
    </row>
    <row r="20">
      <c r="B20" s="68" t="inlineStr">
        <is>
          <t>Net Proceeds to Equity (Exit)</t>
        </is>
      </c>
      <c r="C20" s="75">
        <f>'Exit Scenarios'!C21</f>
        <v/>
      </c>
      <c r="D20" s="75">
        <f>'Exit Scenarios'!G21</f>
        <v/>
      </c>
      <c r="E20" s="75">
        <f>'Exit Scenarios'!H21</f>
        <v/>
      </c>
    </row>
    <row r="22" ht="28" customHeight="1" s="40">
      <c r="B22" s="66" t="inlineStr">
        <is>
          <t>CVS expiry: 1/31/2033 (Y8). S3 sells the 1.48-acre pad Y7. S4 contributes the pad to the MF developer in exchange for ride-along equity recovered at Y10.</t>
        </is>
      </c>
    </row>
  </sheetData>
  <mergeCells count="5">
    <mergeCell ref="B11:E11"/>
    <mergeCell ref="B3:E3"/>
    <mergeCell ref="B2:E2"/>
    <mergeCell ref="B22:E22"/>
    <mergeCell ref="B14:E14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B2:L121"/>
  <sheetViews>
    <sheetView showGridLines="0" workbookViewId="0">
      <selection activeCell="A1" sqref="A1"/>
    </sheetView>
  </sheetViews>
  <sheetFormatPr baseColWidth="8" defaultRowHeight="15"/>
  <cols>
    <col width="2.5" customWidth="1" style="40" min="1" max="1"/>
    <col width="32" customWidth="1" style="40" min="2" max="2"/>
    <col width="14" customWidth="1" style="40" min="3" max="3"/>
    <col width="14" customWidth="1" style="40" min="4" max="4"/>
    <col width="14" customWidth="1" style="40" min="5" max="5"/>
    <col width="14" customWidth="1" style="40" min="6" max="6"/>
    <col width="14" customWidth="1" style="40" min="7" max="7"/>
    <col width="14" customWidth="1" style="40" min="8" max="8"/>
    <col width="14" customWidth="1" style="40" min="9" max="9"/>
    <col width="12" customWidth="1" style="40" min="10" max="10"/>
    <col width="12" customWidth="1" style="40" min="11" max="11"/>
    <col width="12" customWidth="1" style="40" min="12" max="12"/>
  </cols>
  <sheetData>
    <row r="2" ht="24" customHeight="1" s="40">
      <c r="B2" s="52" t="inlineStr">
        <is>
          <t>SENSITIVITY ANALYSIS — STRESS TEST</t>
        </is>
      </c>
    </row>
    <row r="3">
      <c r="B3" s="66" t="inlineStr">
        <is>
          <t>LP returns under adverse scenarios. Each column rebuilds the LP cash flow stream from first principles.</t>
        </is>
      </c>
    </row>
    <row r="5" ht="36" customHeight="1" s="40">
      <c r="B5" s="67" t="inlineStr">
        <is>
          <t>SCENARIO</t>
        </is>
      </c>
      <c r="C5" s="80" t="inlineStr">
        <is>
          <t>BASE
$300/SF · 10-yr</t>
        </is>
      </c>
      <c r="D5" s="80" t="inlineStr">
        <is>
          <t>LAND −17%
$250/SF</t>
        </is>
      </c>
      <c r="E5" s="80" t="inlineStr">
        <is>
          <t>LAND −33%
$200/SF</t>
        </is>
      </c>
      <c r="F5" s="80" t="inlineStr">
        <is>
          <t>5-YR HOLD
Sell Y5</t>
        </is>
      </c>
      <c r="G5" s="80" t="inlineStr">
        <is>
          <t>NOI −10%
All Years</t>
        </is>
      </c>
      <c r="H5" s="80" t="inlineStr">
        <is>
          <t>REFI RATE
6.50%</t>
        </is>
      </c>
      <c r="I5" s="80" t="inlineStr">
        <is>
          <t>NO REFI
Keep Orig</t>
        </is>
      </c>
    </row>
    <row r="6">
      <c r="B6" s="68" t="inlineStr">
        <is>
          <t>Exit Land $/SF</t>
        </is>
      </c>
      <c r="C6" s="84">
        <f>Inputs!$C$56</f>
        <v/>
      </c>
      <c r="D6" s="87" t="n">
        <v>250</v>
      </c>
      <c r="E6" s="87" t="n">
        <v>200</v>
      </c>
      <c r="F6" s="87" t="n">
        <v>275</v>
      </c>
      <c r="G6" s="84">
        <f>Inputs!$C$56</f>
        <v/>
      </c>
      <c r="H6" s="84">
        <f>Inputs!$C$56</f>
        <v/>
      </c>
      <c r="I6" s="84">
        <f>Inputs!$C$56</f>
        <v/>
      </c>
    </row>
    <row r="7">
      <c r="B7" s="68" t="inlineStr">
        <is>
          <t>NOI Multiplier</t>
        </is>
      </c>
      <c r="C7" s="88" t="n">
        <v>1</v>
      </c>
      <c r="D7" s="88" t="n">
        <v>1</v>
      </c>
      <c r="E7" s="88" t="n">
        <v>1</v>
      </c>
      <c r="F7" s="88" t="n">
        <v>1</v>
      </c>
      <c r="G7" s="89" t="n">
        <v>0.9</v>
      </c>
      <c r="H7" s="88" t="n">
        <v>1</v>
      </c>
      <c r="I7" s="88" t="n">
        <v>1</v>
      </c>
    </row>
    <row r="8">
      <c r="B8" s="68" t="inlineStr">
        <is>
          <t>Refi Rate Override</t>
        </is>
      </c>
      <c r="C8" s="85">
        <f>Inputs!$C$51</f>
        <v/>
      </c>
      <c r="D8" s="85">
        <f>Inputs!$C$51</f>
        <v/>
      </c>
      <c r="E8" s="85">
        <f>Inputs!$C$51</f>
        <v/>
      </c>
      <c r="F8" s="85">
        <f>Inputs!$C$51</f>
        <v/>
      </c>
      <c r="G8" s="85">
        <f>Inputs!$C$51</f>
        <v/>
      </c>
      <c r="H8" s="90" t="n">
        <v>0.065</v>
      </c>
      <c r="I8" s="85">
        <f>Inputs!$C$51</f>
        <v/>
      </c>
    </row>
    <row r="9">
      <c r="B9" s="68" t="inlineStr">
        <is>
          <t>Refi at Y5?  (1=Yes, 0=No)</t>
        </is>
      </c>
      <c r="C9" s="86" t="n">
        <v>1</v>
      </c>
      <c r="D9" s="86" t="n">
        <v>1</v>
      </c>
      <c r="E9" s="86" t="n">
        <v>1</v>
      </c>
      <c r="F9" s="91" t="n">
        <v>0</v>
      </c>
      <c r="G9" s="86" t="n">
        <v>1</v>
      </c>
      <c r="H9" s="86" t="n">
        <v>1</v>
      </c>
      <c r="I9" s="91" t="n">
        <v>0</v>
      </c>
    </row>
    <row r="10">
      <c r="B10" s="68" t="inlineStr">
        <is>
          <t>Hold Years</t>
        </is>
      </c>
      <c r="C10" s="86" t="n">
        <v>10</v>
      </c>
      <c r="D10" s="86" t="n">
        <v>10</v>
      </c>
      <c r="E10" s="86" t="n">
        <v>10</v>
      </c>
      <c r="F10" s="91" t="n">
        <v>5</v>
      </c>
      <c r="G10" s="86" t="n">
        <v>10</v>
      </c>
      <c r="H10" s="86" t="n">
        <v>10</v>
      </c>
      <c r="I10" s="86" t="n">
        <v>10</v>
      </c>
    </row>
    <row r="12">
      <c r="B12" s="67" t="inlineStr">
        <is>
          <t>SHARED HELPERS (linked)</t>
        </is>
      </c>
    </row>
    <row r="13">
      <c r="B13" s="68" t="inlineStr">
        <is>
          <t>LP Equity</t>
        </is>
      </c>
      <c r="C13" s="71">
        <f>Inputs!$C$40</f>
        <v/>
      </c>
    </row>
    <row r="14">
      <c r="B14" s="68" t="inlineStr">
        <is>
          <t>Annual Mgmt Fee</t>
        </is>
      </c>
      <c r="C14" s="71">
        <f>$C$13*Inputs!$C$44</f>
        <v/>
      </c>
    </row>
    <row r="15">
      <c r="B15" s="68" t="inlineStr">
        <is>
          <t>Land Total SF</t>
        </is>
      </c>
      <c r="C15" s="69">
        <f>Inputs!$C$57</f>
        <v/>
      </c>
    </row>
    <row r="16">
      <c r="B16" s="68" t="inlineStr">
        <is>
          <t>Sale Costs %</t>
        </is>
      </c>
      <c r="C16" s="70">
        <f>Inputs!$C$59</f>
        <v/>
      </c>
    </row>
    <row r="17">
      <c r="B17" s="68" t="inlineStr">
        <is>
          <t>Escrow Returned (Y10)</t>
        </is>
      </c>
      <c r="C17" s="71">
        <f>'Escrow Roll'!$L$9</f>
        <v/>
      </c>
    </row>
    <row r="19">
      <c r="B19" s="67" t="inlineStr">
        <is>
          <t>NOI BY YEAR  (NOI Mult × baseline)</t>
        </is>
      </c>
    </row>
    <row r="20">
      <c r="B20" s="68" t="inlineStr">
        <is>
          <t>Y1 NOI</t>
        </is>
      </c>
      <c r="C20" s="75">
        <f>C$7*'NOI Build'!$C$15</f>
        <v/>
      </c>
      <c r="D20" s="75">
        <f>D$7*'NOI Build'!$C$15</f>
        <v/>
      </c>
      <c r="E20" s="75">
        <f>E$7*'NOI Build'!$C$15</f>
        <v/>
      </c>
      <c r="F20" s="75">
        <f>F$7*'NOI Build'!$C$15</f>
        <v/>
      </c>
      <c r="G20" s="75">
        <f>G$7*'NOI Build'!$C$15</f>
        <v/>
      </c>
      <c r="H20" s="75">
        <f>H$7*'NOI Build'!$C$15</f>
        <v/>
      </c>
      <c r="I20" s="75">
        <f>I$7*'NOI Build'!$C$15</f>
        <v/>
      </c>
    </row>
    <row r="21">
      <c r="B21" s="68" t="inlineStr">
        <is>
          <t>Y2 NOI</t>
        </is>
      </c>
      <c r="C21" s="75">
        <f>C$7*'NOI Build'!$D$15</f>
        <v/>
      </c>
      <c r="D21" s="75">
        <f>D$7*'NOI Build'!$D$15</f>
        <v/>
      </c>
      <c r="E21" s="75">
        <f>E$7*'NOI Build'!$D$15</f>
        <v/>
      </c>
      <c r="F21" s="75">
        <f>F$7*'NOI Build'!$D$15</f>
        <v/>
      </c>
      <c r="G21" s="75">
        <f>G$7*'NOI Build'!$D$15</f>
        <v/>
      </c>
      <c r="H21" s="75">
        <f>H$7*'NOI Build'!$D$15</f>
        <v/>
      </c>
      <c r="I21" s="75">
        <f>I$7*'NOI Build'!$D$15</f>
        <v/>
      </c>
    </row>
    <row r="22">
      <c r="B22" s="68" t="inlineStr">
        <is>
          <t>Y3 NOI</t>
        </is>
      </c>
      <c r="C22" s="75">
        <f>C$7*'NOI Build'!$E$15</f>
        <v/>
      </c>
      <c r="D22" s="75">
        <f>D$7*'NOI Build'!$E$15</f>
        <v/>
      </c>
      <c r="E22" s="75">
        <f>E$7*'NOI Build'!$E$15</f>
        <v/>
      </c>
      <c r="F22" s="75">
        <f>F$7*'NOI Build'!$E$15</f>
        <v/>
      </c>
      <c r="G22" s="75">
        <f>G$7*'NOI Build'!$E$15</f>
        <v/>
      </c>
      <c r="H22" s="75">
        <f>H$7*'NOI Build'!$E$15</f>
        <v/>
      </c>
      <c r="I22" s="75">
        <f>I$7*'NOI Build'!$E$15</f>
        <v/>
      </c>
    </row>
    <row r="23">
      <c r="B23" s="68" t="inlineStr">
        <is>
          <t>Y4 NOI</t>
        </is>
      </c>
      <c r="C23" s="75">
        <f>C$7*'NOI Build'!$F$15</f>
        <v/>
      </c>
      <c r="D23" s="75">
        <f>D$7*'NOI Build'!$F$15</f>
        <v/>
      </c>
      <c r="E23" s="75">
        <f>E$7*'NOI Build'!$F$15</f>
        <v/>
      </c>
      <c r="F23" s="75">
        <f>F$7*'NOI Build'!$F$15</f>
        <v/>
      </c>
      <c r="G23" s="75">
        <f>G$7*'NOI Build'!$F$15</f>
        <v/>
      </c>
      <c r="H23" s="75">
        <f>H$7*'NOI Build'!$F$15</f>
        <v/>
      </c>
      <c r="I23" s="75">
        <f>I$7*'NOI Build'!$F$15</f>
        <v/>
      </c>
    </row>
    <row r="24">
      <c r="B24" s="68" t="inlineStr">
        <is>
          <t>Y5 NOI</t>
        </is>
      </c>
      <c r="C24" s="75">
        <f>C$7*'NOI Build'!$G$15</f>
        <v/>
      </c>
      <c r="D24" s="75">
        <f>D$7*'NOI Build'!$G$15</f>
        <v/>
      </c>
      <c r="E24" s="75">
        <f>E$7*'NOI Build'!$G$15</f>
        <v/>
      </c>
      <c r="F24" s="75">
        <f>F$7*'NOI Build'!$G$15</f>
        <v/>
      </c>
      <c r="G24" s="75">
        <f>G$7*'NOI Build'!$G$15</f>
        <v/>
      </c>
      <c r="H24" s="75">
        <f>H$7*'NOI Build'!$G$15</f>
        <v/>
      </c>
      <c r="I24" s="75">
        <f>I$7*'NOI Build'!$G$15</f>
        <v/>
      </c>
    </row>
    <row r="25">
      <c r="B25" s="68" t="inlineStr">
        <is>
          <t>Y6 NOI</t>
        </is>
      </c>
      <c r="C25" s="75">
        <f>C$7*'NOI Build'!$H$15</f>
        <v/>
      </c>
      <c r="D25" s="75">
        <f>D$7*'NOI Build'!$H$15</f>
        <v/>
      </c>
      <c r="E25" s="75">
        <f>E$7*'NOI Build'!$H$15</f>
        <v/>
      </c>
      <c r="F25" s="75">
        <f>F$7*'NOI Build'!$H$15</f>
        <v/>
      </c>
      <c r="G25" s="75">
        <f>G$7*'NOI Build'!$H$15</f>
        <v/>
      </c>
      <c r="H25" s="75">
        <f>H$7*'NOI Build'!$H$15</f>
        <v/>
      </c>
      <c r="I25" s="75">
        <f>I$7*'NOI Build'!$H$15</f>
        <v/>
      </c>
    </row>
    <row r="26">
      <c r="B26" s="68" t="inlineStr">
        <is>
          <t>Y7 NOI</t>
        </is>
      </c>
      <c r="C26" s="75">
        <f>C$7*'NOI Build'!$I$15</f>
        <v/>
      </c>
      <c r="D26" s="75">
        <f>D$7*'NOI Build'!$I$15</f>
        <v/>
      </c>
      <c r="E26" s="75">
        <f>E$7*'NOI Build'!$I$15</f>
        <v/>
      </c>
      <c r="F26" s="75">
        <f>F$7*'NOI Build'!$I$15</f>
        <v/>
      </c>
      <c r="G26" s="75">
        <f>G$7*'NOI Build'!$I$15</f>
        <v/>
      </c>
      <c r="H26" s="75">
        <f>H$7*'NOI Build'!$I$15</f>
        <v/>
      </c>
      <c r="I26" s="75">
        <f>I$7*'NOI Build'!$I$15</f>
        <v/>
      </c>
    </row>
    <row r="27">
      <c r="B27" s="68" t="inlineStr">
        <is>
          <t>Y8 NOI</t>
        </is>
      </c>
      <c r="C27" s="75">
        <f>C$7*'NOI Build'!$J$15</f>
        <v/>
      </c>
      <c r="D27" s="75">
        <f>D$7*'NOI Build'!$J$15</f>
        <v/>
      </c>
      <c r="E27" s="75">
        <f>E$7*'NOI Build'!$J$15</f>
        <v/>
      </c>
      <c r="F27" s="75">
        <f>F$7*'NOI Build'!$J$15</f>
        <v/>
      </c>
      <c r="G27" s="75">
        <f>G$7*'NOI Build'!$J$15</f>
        <v/>
      </c>
      <c r="H27" s="75">
        <f>H$7*'NOI Build'!$J$15</f>
        <v/>
      </c>
      <c r="I27" s="75">
        <f>I$7*'NOI Build'!$J$15</f>
        <v/>
      </c>
    </row>
    <row r="28">
      <c r="B28" s="68" t="inlineStr">
        <is>
          <t>Y9 NOI</t>
        </is>
      </c>
      <c r="C28" s="75">
        <f>C$7*'NOI Build'!$K$15</f>
        <v/>
      </c>
      <c r="D28" s="75">
        <f>D$7*'NOI Build'!$K$15</f>
        <v/>
      </c>
      <c r="E28" s="75">
        <f>E$7*'NOI Build'!$K$15</f>
        <v/>
      </c>
      <c r="F28" s="75">
        <f>F$7*'NOI Build'!$K$15</f>
        <v/>
      </c>
      <c r="G28" s="75">
        <f>G$7*'NOI Build'!$K$15</f>
        <v/>
      </c>
      <c r="H28" s="75">
        <f>H$7*'NOI Build'!$K$15</f>
        <v/>
      </c>
      <c r="I28" s="75">
        <f>I$7*'NOI Build'!$K$15</f>
        <v/>
      </c>
    </row>
    <row r="29">
      <c r="B29" s="68" t="inlineStr">
        <is>
          <t>Y10 NOI</t>
        </is>
      </c>
      <c r="C29" s="75">
        <f>C$7*'NOI Build'!$L$15</f>
        <v/>
      </c>
      <c r="D29" s="75">
        <f>D$7*'NOI Build'!$L$15</f>
        <v/>
      </c>
      <c r="E29" s="75">
        <f>E$7*'NOI Build'!$L$15</f>
        <v/>
      </c>
      <c r="F29" s="75">
        <f>F$7*'NOI Build'!$L$15</f>
        <v/>
      </c>
      <c r="G29" s="75">
        <f>G$7*'NOI Build'!$L$15</f>
        <v/>
      </c>
      <c r="H29" s="75">
        <f>H$7*'NOI Build'!$L$15</f>
        <v/>
      </c>
      <c r="I29" s="75">
        <f>I$7*'NOI Build'!$L$15</f>
        <v/>
      </c>
    </row>
    <row r="30">
      <c r="B30" s="67" t="inlineStr">
        <is>
          <t>DEBT SERVICE &amp; LOAN  (per scenario)</t>
        </is>
      </c>
    </row>
    <row r="31">
      <c r="B31" s="68" t="inlineStr">
        <is>
          <t>Y5 Property Value (refi cap)</t>
        </is>
      </c>
      <c r="C31" s="75">
        <f>C24/Inputs!$C$49</f>
        <v/>
      </c>
      <c r="D31" s="75">
        <f>D24/Inputs!$C$49</f>
        <v/>
      </c>
      <c r="E31" s="75">
        <f>E24/Inputs!$C$49</f>
        <v/>
      </c>
      <c r="F31" s="75">
        <f>F24/Inputs!$C$49</f>
        <v/>
      </c>
      <c r="G31" s="75">
        <f>G24/Inputs!$C$49</f>
        <v/>
      </c>
      <c r="H31" s="75">
        <f>H24/Inputs!$C$49</f>
        <v/>
      </c>
      <c r="I31" s="75">
        <f>I24/Inputs!$C$49</f>
        <v/>
      </c>
    </row>
    <row r="32">
      <c r="B32" s="68" t="inlineStr">
        <is>
          <t>Y5 New Loan (LTV)</t>
        </is>
      </c>
      <c r="C32" s="75">
        <f>IF(C$9=1,C31*Inputs!$C$50,0)</f>
        <v/>
      </c>
      <c r="D32" s="75">
        <f>IF(D$9=1,D31*Inputs!$C$50,0)</f>
        <v/>
      </c>
      <c r="E32" s="75">
        <f>IF(E$9=1,E31*Inputs!$C$50,0)</f>
        <v/>
      </c>
      <c r="F32" s="75">
        <f>IF(F$9=1,F31*Inputs!$C$50,0)</f>
        <v/>
      </c>
      <c r="G32" s="75">
        <f>IF(G$9=1,G31*Inputs!$C$50,0)</f>
        <v/>
      </c>
      <c r="H32" s="75">
        <f>IF(H$9=1,H31*Inputs!$C$50,0)</f>
        <v/>
      </c>
      <c r="I32" s="75">
        <f>IF(I$9=1,I31*Inputs!$C$50,0)</f>
        <v/>
      </c>
    </row>
    <row r="33">
      <c r="B33" s="68" t="inlineStr">
        <is>
          <t>Original Loan Y5 Bal</t>
        </is>
      </c>
      <c r="C33" s="71">
        <f>'Debt Service'!$C$8</f>
        <v/>
      </c>
      <c r="D33" s="71">
        <f>'Debt Service'!$C$8</f>
        <v/>
      </c>
      <c r="E33" s="71">
        <f>'Debt Service'!$C$8</f>
        <v/>
      </c>
      <c r="F33" s="71">
        <f>'Debt Service'!$C$8</f>
        <v/>
      </c>
      <c r="G33" s="71">
        <f>'Debt Service'!$C$8</f>
        <v/>
      </c>
      <c r="H33" s="71">
        <f>'Debt Service'!$C$8</f>
        <v/>
      </c>
      <c r="I33" s="71">
        <f>'Debt Service'!$C$8</f>
        <v/>
      </c>
    </row>
    <row r="34">
      <c r="B34" s="68" t="inlineStr">
        <is>
          <t>Refi Costs</t>
        </is>
      </c>
      <c r="C34" s="75">
        <f>C32*Inputs!$C$53</f>
        <v/>
      </c>
      <c r="D34" s="75">
        <f>D32*Inputs!$C$53</f>
        <v/>
      </c>
      <c r="E34" s="75">
        <f>E32*Inputs!$C$53</f>
        <v/>
      </c>
      <c r="F34" s="75">
        <f>F32*Inputs!$C$53</f>
        <v/>
      </c>
      <c r="G34" s="75">
        <f>G32*Inputs!$C$53</f>
        <v/>
      </c>
      <c r="H34" s="75">
        <f>H32*Inputs!$C$53</f>
        <v/>
      </c>
      <c r="I34" s="75">
        <f>I32*Inputs!$C$53</f>
        <v/>
      </c>
    </row>
    <row r="35">
      <c r="B35" s="68" t="inlineStr">
        <is>
          <t>Y5 Net Refi Proceeds</t>
        </is>
      </c>
      <c r="C35" s="75">
        <f>IF(C$9=1,C32-C33-C34,0)</f>
        <v/>
      </c>
      <c r="D35" s="75">
        <f>IF(D$9=1,D32-D33-D34,0)</f>
        <v/>
      </c>
      <c r="E35" s="75">
        <f>IF(E$9=1,E32-E33-E34,0)</f>
        <v/>
      </c>
      <c r="F35" s="75">
        <f>IF(F$9=1,F32-F33-F34,0)</f>
        <v/>
      </c>
      <c r="G35" s="75">
        <f>IF(G$9=1,G32-G33-G34,0)</f>
        <v/>
      </c>
      <c r="H35" s="75">
        <f>IF(H$9=1,H32-H33-H34,0)</f>
        <v/>
      </c>
      <c r="I35" s="75">
        <f>IF(I$9=1,I32-I33-I34,0)</f>
        <v/>
      </c>
    </row>
    <row r="36">
      <c r="B36" s="68" t="inlineStr">
        <is>
          <t>Refi P&amp;I Pmt ($/yr)</t>
        </is>
      </c>
      <c r="C36" s="75">
        <f>IF(C$9=1,-PMT(C$8/12,Inputs!$C$37*12,C32)*12,0)</f>
        <v/>
      </c>
      <c r="D36" s="75">
        <f>IF(D$9=1,-PMT(D$8/12,Inputs!$C$37*12,D32)*12,0)</f>
        <v/>
      </c>
      <c r="E36" s="75">
        <f>IF(E$9=1,-PMT(E$8/12,Inputs!$C$37*12,E32)*12,0)</f>
        <v/>
      </c>
      <c r="F36" s="75">
        <f>IF(F$9=1,-PMT(F$8/12,Inputs!$C$37*12,F32)*12,0)</f>
        <v/>
      </c>
      <c r="G36" s="75">
        <f>IF(G$9=1,-PMT(G$8/12,Inputs!$C$37*12,G32)*12,0)</f>
        <v/>
      </c>
      <c r="H36" s="75">
        <f>IF(H$9=1,-PMT(H$8/12,Inputs!$C$37*12,H32)*12,0)</f>
        <v/>
      </c>
      <c r="I36" s="75">
        <f>IF(I$9=1,-PMT(I$8/12,Inputs!$C$37*12,I32)*12,0)</f>
        <v/>
      </c>
    </row>
    <row r="37">
      <c r="B37" s="68" t="inlineStr">
        <is>
          <t>Refi IO Pmt ($/yr)</t>
        </is>
      </c>
      <c r="C37" s="75">
        <f>IF(C$9=1,C32*C$8,0)</f>
        <v/>
      </c>
      <c r="D37" s="75">
        <f>IF(D$9=1,D32*D$8,0)</f>
        <v/>
      </c>
      <c r="E37" s="75">
        <f>IF(E$9=1,E32*E$8,0)</f>
        <v/>
      </c>
      <c r="F37" s="75">
        <f>IF(F$9=1,F32*F$8,0)</f>
        <v/>
      </c>
      <c r="G37" s="75">
        <f>IF(G$9=1,G32*G$8,0)</f>
        <v/>
      </c>
      <c r="H37" s="75">
        <f>IF(H$9=1,H32*H$8,0)</f>
        <v/>
      </c>
      <c r="I37" s="75">
        <f>IF(I$9=1,I32*I$8,0)</f>
        <v/>
      </c>
    </row>
    <row r="38">
      <c r="B38" s="68" t="inlineStr">
        <is>
          <t>Y10 Loan Ending Balance</t>
        </is>
      </c>
      <c r="C38" s="75">
        <f>IF(C$9=1,-FV(C$8/12,(5-Inputs!$C$52)*12,PMT(C$8/12,Inputs!$C$37*12,C32),C32),-FV(Inputs!$C$36/12,(10-Inputs!$C$38)*12,PMT(Inputs!$C$36/12,Inputs!$C$37*12,Inputs!$C$35),Inputs!$C$35))</f>
        <v/>
      </c>
      <c r="D38" s="75">
        <f>IF(D$9=1,-FV(D$8/12,(5-Inputs!$C$52)*12,PMT(D$8/12,Inputs!$C$37*12,D32),D32),-FV(Inputs!$C$36/12,(10-Inputs!$C$38)*12,PMT(Inputs!$C$36/12,Inputs!$C$37*12,Inputs!$C$35),Inputs!$C$35))</f>
        <v/>
      </c>
      <c r="E38" s="75">
        <f>IF(E$9=1,-FV(E$8/12,(5-Inputs!$C$52)*12,PMT(E$8/12,Inputs!$C$37*12,E32),E32),-FV(Inputs!$C$36/12,(10-Inputs!$C$38)*12,PMT(Inputs!$C$36/12,Inputs!$C$37*12,Inputs!$C$35),Inputs!$C$35))</f>
        <v/>
      </c>
      <c r="F38" s="75">
        <f>IF(F$9=1,-FV(F$8/12,(5-Inputs!$C$52)*12,PMT(F$8/12,Inputs!$C$37*12,F32),F32),-FV(Inputs!$C$36/12,(10-Inputs!$C$38)*12,PMT(Inputs!$C$36/12,Inputs!$C$37*12,Inputs!$C$35),Inputs!$C$35))</f>
        <v/>
      </c>
      <c r="G38" s="75">
        <f>IF(G$9=1,-FV(G$8/12,(5-Inputs!$C$52)*12,PMT(G$8/12,Inputs!$C$37*12,G32),G32),-FV(Inputs!$C$36/12,(10-Inputs!$C$38)*12,PMT(Inputs!$C$36/12,Inputs!$C$37*12,Inputs!$C$35),Inputs!$C$35))</f>
        <v/>
      </c>
      <c r="H38" s="75">
        <f>IF(H$9=1,-FV(H$8/12,(5-Inputs!$C$52)*12,PMT(H$8/12,Inputs!$C$37*12,H32),H32),-FV(Inputs!$C$36/12,(10-Inputs!$C$38)*12,PMT(Inputs!$C$36/12,Inputs!$C$37*12,Inputs!$C$35),Inputs!$C$35))</f>
        <v/>
      </c>
      <c r="I38" s="75">
        <f>IF(I$9=1,-FV(I$8/12,(5-Inputs!$C$52)*12,PMT(I$8/12,Inputs!$C$37*12,I32),I32),-FV(Inputs!$C$36/12,(10-Inputs!$C$38)*12,PMT(Inputs!$C$36/12,Inputs!$C$37*12,Inputs!$C$35),Inputs!$C$35))</f>
        <v/>
      </c>
    </row>
    <row r="40">
      <c r="B40" s="67" t="inlineStr">
        <is>
          <t>DEBT SERVICE BY YEAR</t>
        </is>
      </c>
    </row>
    <row r="41">
      <c r="B41" s="68" t="inlineStr">
        <is>
          <t>Y1 Debt Service</t>
        </is>
      </c>
      <c r="C41" s="75">
        <f>IF(1&lt;=Inputs!$C$38,Inputs!$C$35*Inputs!$C$36,'Debt Service'!$C$7)</f>
        <v/>
      </c>
      <c r="D41" s="75">
        <f>IF(1&lt;=Inputs!$C$38,Inputs!$C$35*Inputs!$C$36,'Debt Service'!$C$7)</f>
        <v/>
      </c>
      <c r="E41" s="75">
        <f>IF(1&lt;=Inputs!$C$38,Inputs!$C$35*Inputs!$C$36,'Debt Service'!$C$7)</f>
        <v/>
      </c>
      <c r="F41" s="75">
        <f>IF(1&lt;=Inputs!$C$38,Inputs!$C$35*Inputs!$C$36,'Debt Service'!$C$7)</f>
        <v/>
      </c>
      <c r="G41" s="75">
        <f>IF(1&lt;=Inputs!$C$38,Inputs!$C$35*Inputs!$C$36,'Debt Service'!$C$7)</f>
        <v/>
      </c>
      <c r="H41" s="75">
        <f>IF(1&lt;=Inputs!$C$38,Inputs!$C$35*Inputs!$C$36,'Debt Service'!$C$7)</f>
        <v/>
      </c>
      <c r="I41" s="75">
        <f>IF(1&lt;=Inputs!$C$38,Inputs!$C$35*Inputs!$C$36,'Debt Service'!$C$7)</f>
        <v/>
      </c>
    </row>
    <row r="42">
      <c r="B42" s="68" t="inlineStr">
        <is>
          <t>Y2 Debt Service</t>
        </is>
      </c>
      <c r="C42" s="75">
        <f>IF(2&lt;=Inputs!$C$38,Inputs!$C$35*Inputs!$C$36,'Debt Service'!$C$7)</f>
        <v/>
      </c>
      <c r="D42" s="75">
        <f>IF(2&lt;=Inputs!$C$38,Inputs!$C$35*Inputs!$C$36,'Debt Service'!$C$7)</f>
        <v/>
      </c>
      <c r="E42" s="75">
        <f>IF(2&lt;=Inputs!$C$38,Inputs!$C$35*Inputs!$C$36,'Debt Service'!$C$7)</f>
        <v/>
      </c>
      <c r="F42" s="75">
        <f>IF(2&lt;=Inputs!$C$38,Inputs!$C$35*Inputs!$C$36,'Debt Service'!$C$7)</f>
        <v/>
      </c>
      <c r="G42" s="75">
        <f>IF(2&lt;=Inputs!$C$38,Inputs!$C$35*Inputs!$C$36,'Debt Service'!$C$7)</f>
        <v/>
      </c>
      <c r="H42" s="75">
        <f>IF(2&lt;=Inputs!$C$38,Inputs!$C$35*Inputs!$C$36,'Debt Service'!$C$7)</f>
        <v/>
      </c>
      <c r="I42" s="75">
        <f>IF(2&lt;=Inputs!$C$38,Inputs!$C$35*Inputs!$C$36,'Debt Service'!$C$7)</f>
        <v/>
      </c>
    </row>
    <row r="43">
      <c r="B43" s="68" t="inlineStr">
        <is>
          <t>Y3 Debt Service</t>
        </is>
      </c>
      <c r="C43" s="75">
        <f>IF(3&lt;=Inputs!$C$38,Inputs!$C$35*Inputs!$C$36,'Debt Service'!$C$7)</f>
        <v/>
      </c>
      <c r="D43" s="75">
        <f>IF(3&lt;=Inputs!$C$38,Inputs!$C$35*Inputs!$C$36,'Debt Service'!$C$7)</f>
        <v/>
      </c>
      <c r="E43" s="75">
        <f>IF(3&lt;=Inputs!$C$38,Inputs!$C$35*Inputs!$C$36,'Debt Service'!$C$7)</f>
        <v/>
      </c>
      <c r="F43" s="75">
        <f>IF(3&lt;=Inputs!$C$38,Inputs!$C$35*Inputs!$C$36,'Debt Service'!$C$7)</f>
        <v/>
      </c>
      <c r="G43" s="75">
        <f>IF(3&lt;=Inputs!$C$38,Inputs!$C$35*Inputs!$C$36,'Debt Service'!$C$7)</f>
        <v/>
      </c>
      <c r="H43" s="75">
        <f>IF(3&lt;=Inputs!$C$38,Inputs!$C$35*Inputs!$C$36,'Debt Service'!$C$7)</f>
        <v/>
      </c>
      <c r="I43" s="75">
        <f>IF(3&lt;=Inputs!$C$38,Inputs!$C$35*Inputs!$C$36,'Debt Service'!$C$7)</f>
        <v/>
      </c>
    </row>
    <row r="44">
      <c r="B44" s="68" t="inlineStr">
        <is>
          <t>Y4 Debt Service</t>
        </is>
      </c>
      <c r="C44" s="75">
        <f>IF(4&lt;=Inputs!$C$38,Inputs!$C$35*Inputs!$C$36,'Debt Service'!$C$7)</f>
        <v/>
      </c>
      <c r="D44" s="75">
        <f>IF(4&lt;=Inputs!$C$38,Inputs!$C$35*Inputs!$C$36,'Debt Service'!$C$7)</f>
        <v/>
      </c>
      <c r="E44" s="75">
        <f>IF(4&lt;=Inputs!$C$38,Inputs!$C$35*Inputs!$C$36,'Debt Service'!$C$7)</f>
        <v/>
      </c>
      <c r="F44" s="75">
        <f>IF(4&lt;=Inputs!$C$38,Inputs!$C$35*Inputs!$C$36,'Debt Service'!$C$7)</f>
        <v/>
      </c>
      <c r="G44" s="75">
        <f>IF(4&lt;=Inputs!$C$38,Inputs!$C$35*Inputs!$C$36,'Debt Service'!$C$7)</f>
        <v/>
      </c>
      <c r="H44" s="75">
        <f>IF(4&lt;=Inputs!$C$38,Inputs!$C$35*Inputs!$C$36,'Debt Service'!$C$7)</f>
        <v/>
      </c>
      <c r="I44" s="75">
        <f>IF(4&lt;=Inputs!$C$38,Inputs!$C$35*Inputs!$C$36,'Debt Service'!$C$7)</f>
        <v/>
      </c>
    </row>
    <row r="45">
      <c r="B45" s="68" t="inlineStr">
        <is>
          <t>Y5 Debt Service</t>
        </is>
      </c>
      <c r="C45" s="75">
        <f>IF(5&lt;=Inputs!$C$38,Inputs!$C$35*Inputs!$C$36,'Debt Service'!$C$7)</f>
        <v/>
      </c>
      <c r="D45" s="75">
        <f>IF(5&lt;=Inputs!$C$38,Inputs!$C$35*Inputs!$C$36,'Debt Service'!$C$7)</f>
        <v/>
      </c>
      <c r="E45" s="75">
        <f>IF(5&lt;=Inputs!$C$38,Inputs!$C$35*Inputs!$C$36,'Debt Service'!$C$7)</f>
        <v/>
      </c>
      <c r="F45" s="75">
        <f>IF(5&lt;=Inputs!$C$38,Inputs!$C$35*Inputs!$C$36,'Debt Service'!$C$7)</f>
        <v/>
      </c>
      <c r="G45" s="75">
        <f>IF(5&lt;=Inputs!$C$38,Inputs!$C$35*Inputs!$C$36,'Debt Service'!$C$7)</f>
        <v/>
      </c>
      <c r="H45" s="75">
        <f>IF(5&lt;=Inputs!$C$38,Inputs!$C$35*Inputs!$C$36,'Debt Service'!$C$7)</f>
        <v/>
      </c>
      <c r="I45" s="75">
        <f>IF(5&lt;=Inputs!$C$38,Inputs!$C$35*Inputs!$C$36,'Debt Service'!$C$7)</f>
        <v/>
      </c>
    </row>
    <row r="46">
      <c r="B46" s="68" t="inlineStr">
        <is>
          <t>Y6 Debt Service</t>
        </is>
      </c>
      <c r="C46" s="75">
        <f>IF(C$9=1,IF(6&lt;=5+Inputs!$C$52,C37,C36),'Debt Service'!$C$7)</f>
        <v/>
      </c>
      <c r="D46" s="75">
        <f>IF(D$9=1,IF(6&lt;=5+Inputs!$C$52,D37,D36),'Debt Service'!$C$7)</f>
        <v/>
      </c>
      <c r="E46" s="75">
        <f>IF(E$9=1,IF(6&lt;=5+Inputs!$C$52,E37,E36),'Debt Service'!$C$7)</f>
        <v/>
      </c>
      <c r="F46" s="75">
        <f>IF(F$9=1,IF(6&lt;=5+Inputs!$C$52,F37,F36),'Debt Service'!$C$7)</f>
        <v/>
      </c>
      <c r="G46" s="75">
        <f>IF(G$9=1,IF(6&lt;=5+Inputs!$C$52,G37,G36),'Debt Service'!$C$7)</f>
        <v/>
      </c>
      <c r="H46" s="75">
        <f>IF(H$9=1,IF(6&lt;=5+Inputs!$C$52,H37,H36),'Debt Service'!$C$7)</f>
        <v/>
      </c>
      <c r="I46" s="75">
        <f>IF(I$9=1,IF(6&lt;=5+Inputs!$C$52,I37,I36),'Debt Service'!$C$7)</f>
        <v/>
      </c>
    </row>
    <row r="47">
      <c r="B47" s="68" t="inlineStr">
        <is>
          <t>Y7 Debt Service</t>
        </is>
      </c>
      <c r="C47" s="75">
        <f>IF(C$9=1,IF(7&lt;=5+Inputs!$C$52,C37,C36),'Debt Service'!$C$7)</f>
        <v/>
      </c>
      <c r="D47" s="75">
        <f>IF(D$9=1,IF(7&lt;=5+Inputs!$C$52,D37,D36),'Debt Service'!$C$7)</f>
        <v/>
      </c>
      <c r="E47" s="75">
        <f>IF(E$9=1,IF(7&lt;=5+Inputs!$C$52,E37,E36),'Debt Service'!$C$7)</f>
        <v/>
      </c>
      <c r="F47" s="75">
        <f>IF(F$9=1,IF(7&lt;=5+Inputs!$C$52,F37,F36),'Debt Service'!$C$7)</f>
        <v/>
      </c>
      <c r="G47" s="75">
        <f>IF(G$9=1,IF(7&lt;=5+Inputs!$C$52,G37,G36),'Debt Service'!$C$7)</f>
        <v/>
      </c>
      <c r="H47" s="75">
        <f>IF(H$9=1,IF(7&lt;=5+Inputs!$C$52,H37,H36),'Debt Service'!$C$7)</f>
        <v/>
      </c>
      <c r="I47" s="75">
        <f>IF(I$9=1,IF(7&lt;=5+Inputs!$C$52,I37,I36),'Debt Service'!$C$7)</f>
        <v/>
      </c>
    </row>
    <row r="48">
      <c r="B48" s="68" t="inlineStr">
        <is>
          <t>Y8 Debt Service</t>
        </is>
      </c>
      <c r="C48" s="75">
        <f>IF(C$9=1,IF(8&lt;=5+Inputs!$C$52,C37,C36),'Debt Service'!$C$7)</f>
        <v/>
      </c>
      <c r="D48" s="75">
        <f>IF(D$9=1,IF(8&lt;=5+Inputs!$C$52,D37,D36),'Debt Service'!$C$7)</f>
        <v/>
      </c>
      <c r="E48" s="75">
        <f>IF(E$9=1,IF(8&lt;=5+Inputs!$C$52,E37,E36),'Debt Service'!$C$7)</f>
        <v/>
      </c>
      <c r="F48" s="75">
        <f>IF(F$9=1,IF(8&lt;=5+Inputs!$C$52,F37,F36),'Debt Service'!$C$7)</f>
        <v/>
      </c>
      <c r="G48" s="75">
        <f>IF(G$9=1,IF(8&lt;=5+Inputs!$C$52,G37,G36),'Debt Service'!$C$7)</f>
        <v/>
      </c>
      <c r="H48" s="75">
        <f>IF(H$9=1,IF(8&lt;=5+Inputs!$C$52,H37,H36),'Debt Service'!$C$7)</f>
        <v/>
      </c>
      <c r="I48" s="75">
        <f>IF(I$9=1,IF(8&lt;=5+Inputs!$C$52,I37,I36),'Debt Service'!$C$7)</f>
        <v/>
      </c>
    </row>
    <row r="49">
      <c r="B49" s="68" t="inlineStr">
        <is>
          <t>Y9 Debt Service</t>
        </is>
      </c>
      <c r="C49" s="75">
        <f>IF(C$9=1,IF(9&lt;=5+Inputs!$C$52,C37,C36),'Debt Service'!$C$7)</f>
        <v/>
      </c>
      <c r="D49" s="75">
        <f>IF(D$9=1,IF(9&lt;=5+Inputs!$C$52,D37,D36),'Debt Service'!$C$7)</f>
        <v/>
      </c>
      <c r="E49" s="75">
        <f>IF(E$9=1,IF(9&lt;=5+Inputs!$C$52,E37,E36),'Debt Service'!$C$7)</f>
        <v/>
      </c>
      <c r="F49" s="75">
        <f>IF(F$9=1,IF(9&lt;=5+Inputs!$C$52,F37,F36),'Debt Service'!$C$7)</f>
        <v/>
      </c>
      <c r="G49" s="75">
        <f>IF(G$9=1,IF(9&lt;=5+Inputs!$C$52,G37,G36),'Debt Service'!$C$7)</f>
        <v/>
      </c>
      <c r="H49" s="75">
        <f>IF(H$9=1,IF(9&lt;=5+Inputs!$C$52,H37,H36),'Debt Service'!$C$7)</f>
        <v/>
      </c>
      <c r="I49" s="75">
        <f>IF(I$9=1,IF(9&lt;=5+Inputs!$C$52,I37,I36),'Debt Service'!$C$7)</f>
        <v/>
      </c>
    </row>
    <row r="50">
      <c r="B50" s="68" t="inlineStr">
        <is>
          <t>Y10 Debt Service</t>
        </is>
      </c>
      <c r="C50" s="75">
        <f>IF(C$9=1,IF(10&lt;=5+Inputs!$C$52,C37,C36),'Debt Service'!$C$7)</f>
        <v/>
      </c>
      <c r="D50" s="75">
        <f>IF(D$9=1,IF(10&lt;=5+Inputs!$C$52,D37,D36),'Debt Service'!$C$7)</f>
        <v/>
      </c>
      <c r="E50" s="75">
        <f>IF(E$9=1,IF(10&lt;=5+Inputs!$C$52,E37,E36),'Debt Service'!$C$7)</f>
        <v/>
      </c>
      <c r="F50" s="75">
        <f>IF(F$9=1,IF(10&lt;=5+Inputs!$C$52,F37,F36),'Debt Service'!$C$7)</f>
        <v/>
      </c>
      <c r="G50" s="75">
        <f>IF(G$9=1,IF(10&lt;=5+Inputs!$C$52,G37,G36),'Debt Service'!$C$7)</f>
        <v/>
      </c>
      <c r="H50" s="75">
        <f>IF(H$9=1,IF(10&lt;=5+Inputs!$C$52,H37,H36),'Debt Service'!$C$7)</f>
        <v/>
      </c>
      <c r="I50" s="75">
        <f>IF(I$9=1,IF(10&lt;=5+Inputs!$C$52,I37,I36),'Debt Service'!$C$7)</f>
        <v/>
      </c>
    </row>
    <row r="51">
      <c r="B51" s="67" t="inlineStr">
        <is>
          <t>OPERATING CASH FLOW  (NOI − DS)</t>
        </is>
      </c>
    </row>
    <row r="52">
      <c r="B52" s="68" t="inlineStr">
        <is>
          <t>Y1 Op CF</t>
        </is>
      </c>
      <c r="C52" s="75">
        <f>C20-C41</f>
        <v/>
      </c>
      <c r="D52" s="75">
        <f>D20-D41</f>
        <v/>
      </c>
      <c r="E52" s="75">
        <f>E20-E41</f>
        <v/>
      </c>
      <c r="F52" s="75">
        <f>F20-F41</f>
        <v/>
      </c>
      <c r="G52" s="75">
        <f>G20-G41</f>
        <v/>
      </c>
      <c r="H52" s="75">
        <f>H20-H41</f>
        <v/>
      </c>
      <c r="I52" s="75">
        <f>I20-I41</f>
        <v/>
      </c>
    </row>
    <row r="53">
      <c r="B53" s="68" t="inlineStr">
        <is>
          <t>Y2 Op CF</t>
        </is>
      </c>
      <c r="C53" s="75">
        <f>C21-C42</f>
        <v/>
      </c>
      <c r="D53" s="75">
        <f>D21-D42</f>
        <v/>
      </c>
      <c r="E53" s="75">
        <f>E21-E42</f>
        <v/>
      </c>
      <c r="F53" s="75">
        <f>F21-F42</f>
        <v/>
      </c>
      <c r="G53" s="75">
        <f>G21-G42</f>
        <v/>
      </c>
      <c r="H53" s="75">
        <f>H21-H42</f>
        <v/>
      </c>
      <c r="I53" s="75">
        <f>I21-I42</f>
        <v/>
      </c>
    </row>
    <row r="54">
      <c r="B54" s="68" t="inlineStr">
        <is>
          <t>Y3 Op CF</t>
        </is>
      </c>
      <c r="C54" s="75">
        <f>C22-C43</f>
        <v/>
      </c>
      <c r="D54" s="75">
        <f>D22-D43</f>
        <v/>
      </c>
      <c r="E54" s="75">
        <f>E22-E43</f>
        <v/>
      </c>
      <c r="F54" s="75">
        <f>F22-F43</f>
        <v/>
      </c>
      <c r="G54" s="75">
        <f>G22-G43</f>
        <v/>
      </c>
      <c r="H54" s="75">
        <f>H22-H43</f>
        <v/>
      </c>
      <c r="I54" s="75">
        <f>I22-I43</f>
        <v/>
      </c>
    </row>
    <row r="55">
      <c r="B55" s="68" t="inlineStr">
        <is>
          <t>Y4 Op CF</t>
        </is>
      </c>
      <c r="C55" s="75">
        <f>C23-C44</f>
        <v/>
      </c>
      <c r="D55" s="75">
        <f>D23-D44</f>
        <v/>
      </c>
      <c r="E55" s="75">
        <f>E23-E44</f>
        <v/>
      </c>
      <c r="F55" s="75">
        <f>F23-F44</f>
        <v/>
      </c>
      <c r="G55" s="75">
        <f>G23-G44</f>
        <v/>
      </c>
      <c r="H55" s="75">
        <f>H23-H44</f>
        <v/>
      </c>
      <c r="I55" s="75">
        <f>I23-I44</f>
        <v/>
      </c>
    </row>
    <row r="56">
      <c r="B56" s="68" t="inlineStr">
        <is>
          <t>Y5 Op CF</t>
        </is>
      </c>
      <c r="C56" s="75">
        <f>C24-C45</f>
        <v/>
      </c>
      <c r="D56" s="75">
        <f>D24-D45</f>
        <v/>
      </c>
      <c r="E56" s="75">
        <f>E24-E45</f>
        <v/>
      </c>
      <c r="F56" s="75">
        <f>F24-F45</f>
        <v/>
      </c>
      <c r="G56" s="75">
        <f>G24-G45</f>
        <v/>
      </c>
      <c r="H56" s="75">
        <f>H24-H45</f>
        <v/>
      </c>
      <c r="I56" s="75">
        <f>I24-I45</f>
        <v/>
      </c>
    </row>
    <row r="57">
      <c r="B57" s="68" t="inlineStr">
        <is>
          <t>Y6 Op CF</t>
        </is>
      </c>
      <c r="C57" s="75">
        <f>C25-C46</f>
        <v/>
      </c>
      <c r="D57" s="75">
        <f>D25-D46</f>
        <v/>
      </c>
      <c r="E57" s="75">
        <f>E25-E46</f>
        <v/>
      </c>
      <c r="F57" s="75">
        <f>F25-F46</f>
        <v/>
      </c>
      <c r="G57" s="75">
        <f>G25-G46</f>
        <v/>
      </c>
      <c r="H57" s="75">
        <f>H25-H46</f>
        <v/>
      </c>
      <c r="I57" s="75">
        <f>I25-I46</f>
        <v/>
      </c>
    </row>
    <row r="58">
      <c r="B58" s="68" t="inlineStr">
        <is>
          <t>Y7 Op CF</t>
        </is>
      </c>
      <c r="C58" s="75">
        <f>C26-C47</f>
        <v/>
      </c>
      <c r="D58" s="75">
        <f>D26-D47</f>
        <v/>
      </c>
      <c r="E58" s="75">
        <f>E26-E47</f>
        <v/>
      </c>
      <c r="F58" s="75">
        <f>F26-F47</f>
        <v/>
      </c>
      <c r="G58" s="75">
        <f>G26-G47</f>
        <v/>
      </c>
      <c r="H58" s="75">
        <f>H26-H47</f>
        <v/>
      </c>
      <c r="I58" s="75">
        <f>I26-I47</f>
        <v/>
      </c>
    </row>
    <row r="59">
      <c r="B59" s="68" t="inlineStr">
        <is>
          <t>Y8 Op CF</t>
        </is>
      </c>
      <c r="C59" s="75">
        <f>C27-C48</f>
        <v/>
      </c>
      <c r="D59" s="75">
        <f>D27-D48</f>
        <v/>
      </c>
      <c r="E59" s="75">
        <f>E27-E48</f>
        <v/>
      </c>
      <c r="F59" s="75">
        <f>F27-F48</f>
        <v/>
      </c>
      <c r="G59" s="75">
        <f>G27-G48</f>
        <v/>
      </c>
      <c r="H59" s="75">
        <f>H27-H48</f>
        <v/>
      </c>
      <c r="I59" s="75">
        <f>I27-I48</f>
        <v/>
      </c>
    </row>
    <row r="60">
      <c r="B60" s="68" t="inlineStr">
        <is>
          <t>Y9 Op CF</t>
        </is>
      </c>
      <c r="C60" s="75">
        <f>C28-C49</f>
        <v/>
      </c>
      <c r="D60" s="75">
        <f>D28-D49</f>
        <v/>
      </c>
      <c r="E60" s="75">
        <f>E28-E49</f>
        <v/>
      </c>
      <c r="F60" s="75">
        <f>F28-F49</f>
        <v/>
      </c>
      <c r="G60" s="75">
        <f>G28-G49</f>
        <v/>
      </c>
      <c r="H60" s="75">
        <f>H28-H49</f>
        <v/>
      </c>
      <c r="I60" s="75">
        <f>I28-I49</f>
        <v/>
      </c>
    </row>
    <row r="61">
      <c r="B61" s="68" t="inlineStr">
        <is>
          <t>Y10 Op CF</t>
        </is>
      </c>
      <c r="C61" s="75">
        <f>C29-C50</f>
        <v/>
      </c>
      <c r="D61" s="75">
        <f>D29-D50</f>
        <v/>
      </c>
      <c r="E61" s="75">
        <f>E29-E50</f>
        <v/>
      </c>
      <c r="F61" s="75">
        <f>F29-F50</f>
        <v/>
      </c>
      <c r="G61" s="75">
        <f>G29-G50</f>
        <v/>
      </c>
      <c r="H61" s="75">
        <f>H29-H50</f>
        <v/>
      </c>
      <c r="I61" s="75">
        <f>I29-I50</f>
        <v/>
      </c>
    </row>
    <row r="63">
      <c r="B63" s="67" t="inlineStr">
        <is>
          <t>EXIT CASH FLOW</t>
        </is>
      </c>
    </row>
    <row r="64">
      <c r="B64" s="68" t="inlineStr">
        <is>
          <t>Gross Sale Price</t>
        </is>
      </c>
      <c r="C64" s="75">
        <f>C6*$C$15</f>
        <v/>
      </c>
      <c r="D64" s="75">
        <f>D6*$C$15</f>
        <v/>
      </c>
      <c r="E64" s="75">
        <f>E6*$C$15</f>
        <v/>
      </c>
      <c r="F64" s="75">
        <f>F6*$C$15</f>
        <v/>
      </c>
      <c r="G64" s="75">
        <f>G6*$C$15</f>
        <v/>
      </c>
      <c r="H64" s="75">
        <f>H6*$C$15</f>
        <v/>
      </c>
      <c r="I64" s="75">
        <f>I6*$C$15</f>
        <v/>
      </c>
    </row>
    <row r="65">
      <c r="B65" s="68" t="inlineStr">
        <is>
          <t>− Sale Costs</t>
        </is>
      </c>
      <c r="C65" s="75">
        <f>-C64*$C$16</f>
        <v/>
      </c>
      <c r="D65" s="75">
        <f>-D64*$C$16</f>
        <v/>
      </c>
      <c r="E65" s="75">
        <f>-E64*$C$16</f>
        <v/>
      </c>
      <c r="F65" s="75">
        <f>-F64*$C$16</f>
        <v/>
      </c>
      <c r="G65" s="75">
        <f>-G64*$C$16</f>
        <v/>
      </c>
      <c r="H65" s="75">
        <f>-H64*$C$16</f>
        <v/>
      </c>
      <c r="I65" s="75">
        <f>-I64*$C$16</f>
        <v/>
      </c>
    </row>
    <row r="66">
      <c r="B66" s="68" t="inlineStr">
        <is>
          <t>− Loan Payoff at Exit</t>
        </is>
      </c>
      <c r="C66" s="75">
        <f>-IF(C$10=5,C33,C38)</f>
        <v/>
      </c>
      <c r="D66" s="75">
        <f>-IF(D$10=5,D33,D38)</f>
        <v/>
      </c>
      <c r="E66" s="75">
        <f>-IF(E$10=5,E33,E38)</f>
        <v/>
      </c>
      <c r="F66" s="75">
        <f>-IF(F$10=5,F33,F38)</f>
        <v/>
      </c>
      <c r="G66" s="75">
        <f>-IF(G$10=5,G33,G38)</f>
        <v/>
      </c>
      <c r="H66" s="75">
        <f>-IF(H$10=5,H33,H38)</f>
        <v/>
      </c>
      <c r="I66" s="75">
        <f>-IF(I$10=5,I33,I38)</f>
        <v/>
      </c>
    </row>
    <row r="67">
      <c r="B67" s="68" t="inlineStr">
        <is>
          <t>Net Sale Proceeds</t>
        </is>
      </c>
      <c r="C67" s="75">
        <f>C64+C65+C66</f>
        <v/>
      </c>
      <c r="D67" s="75">
        <f>D64+D65+D66</f>
        <v/>
      </c>
      <c r="E67" s="75">
        <f>E64+E65+E66</f>
        <v/>
      </c>
      <c r="F67" s="75">
        <f>F64+F65+F66</f>
        <v/>
      </c>
      <c r="G67" s="75">
        <f>G64+G65+G66</f>
        <v/>
      </c>
      <c r="H67" s="75">
        <f>H64+H65+H66</f>
        <v/>
      </c>
      <c r="I67" s="75">
        <f>I64+I65+I66</f>
        <v/>
      </c>
    </row>
    <row r="69">
      <c r="B69" s="67" t="inlineStr">
        <is>
          <t>PROJECT CASH FLOW  (Y0-Y10)</t>
        </is>
      </c>
    </row>
    <row r="70">
      <c r="B70" s="68" t="inlineStr">
        <is>
          <t>Y0 (Equity)</t>
        </is>
      </c>
      <c r="C70" s="75">
        <f>-$C$13</f>
        <v/>
      </c>
      <c r="D70" s="75">
        <f>-$C$13</f>
        <v/>
      </c>
      <c r="E70" s="75">
        <f>-$C$13</f>
        <v/>
      </c>
      <c r="F70" s="75">
        <f>-$C$13</f>
        <v/>
      </c>
      <c r="G70" s="75">
        <f>-$C$13</f>
        <v/>
      </c>
      <c r="H70" s="75">
        <f>-$C$13</f>
        <v/>
      </c>
      <c r="I70" s="75">
        <f>-$C$13</f>
        <v/>
      </c>
    </row>
    <row r="71">
      <c r="B71" s="68" t="inlineStr">
        <is>
          <t>Y1</t>
        </is>
      </c>
      <c r="C71" s="75">
        <f>C52</f>
        <v/>
      </c>
      <c r="D71" s="75">
        <f>D52</f>
        <v/>
      </c>
      <c r="E71" s="75">
        <f>E52</f>
        <v/>
      </c>
      <c r="F71" s="75">
        <f>F52</f>
        <v/>
      </c>
      <c r="G71" s="75">
        <f>G52</f>
        <v/>
      </c>
      <c r="H71" s="75">
        <f>H52</f>
        <v/>
      </c>
      <c r="I71" s="75">
        <f>I52</f>
        <v/>
      </c>
    </row>
    <row r="72">
      <c r="B72" s="68" t="inlineStr">
        <is>
          <t>Y2</t>
        </is>
      </c>
      <c r="C72" s="75">
        <f>C53</f>
        <v/>
      </c>
      <c r="D72" s="75">
        <f>D53</f>
        <v/>
      </c>
      <c r="E72" s="75">
        <f>E53</f>
        <v/>
      </c>
      <c r="F72" s="75">
        <f>F53</f>
        <v/>
      </c>
      <c r="G72" s="75">
        <f>G53</f>
        <v/>
      </c>
      <c r="H72" s="75">
        <f>H53</f>
        <v/>
      </c>
      <c r="I72" s="75">
        <f>I53</f>
        <v/>
      </c>
    </row>
    <row r="73">
      <c r="B73" s="68" t="inlineStr">
        <is>
          <t>Y3</t>
        </is>
      </c>
      <c r="C73" s="75">
        <f>C54</f>
        <v/>
      </c>
      <c r="D73" s="75">
        <f>D54</f>
        <v/>
      </c>
      <c r="E73" s="75">
        <f>E54</f>
        <v/>
      </c>
      <c r="F73" s="75">
        <f>F54</f>
        <v/>
      </c>
      <c r="G73" s="75">
        <f>G54</f>
        <v/>
      </c>
      <c r="H73" s="75">
        <f>H54</f>
        <v/>
      </c>
      <c r="I73" s="75">
        <f>I54</f>
        <v/>
      </c>
    </row>
    <row r="74">
      <c r="B74" s="68" t="inlineStr">
        <is>
          <t>Y4</t>
        </is>
      </c>
      <c r="C74" s="75">
        <f>C55</f>
        <v/>
      </c>
      <c r="D74" s="75">
        <f>D55</f>
        <v/>
      </c>
      <c r="E74" s="75">
        <f>E55</f>
        <v/>
      </c>
      <c r="F74" s="75">
        <f>F55</f>
        <v/>
      </c>
      <c r="G74" s="75">
        <f>G55</f>
        <v/>
      </c>
      <c r="H74" s="75">
        <f>H55</f>
        <v/>
      </c>
      <c r="I74" s="75">
        <f>I55</f>
        <v/>
      </c>
    </row>
    <row r="75">
      <c r="B75" s="68" t="inlineStr">
        <is>
          <t>Y5</t>
        </is>
      </c>
      <c r="C75" s="75">
        <f>C56+IF(C$10=5,C67+'Escrow Roll'!$G$9,C35)</f>
        <v/>
      </c>
      <c r="D75" s="75">
        <f>D56+IF(D$10=5,D67+'Escrow Roll'!$G$9,D35)</f>
        <v/>
      </c>
      <c r="E75" s="75">
        <f>E56+IF(E$10=5,E67+'Escrow Roll'!$G$9,E35)</f>
        <v/>
      </c>
      <c r="F75" s="75">
        <f>F56+IF(F$10=5,F67+'Escrow Roll'!$G$9,F35)</f>
        <v/>
      </c>
      <c r="G75" s="75">
        <f>G56+IF(G$10=5,G67+'Escrow Roll'!$G$9,G35)</f>
        <v/>
      </c>
      <c r="H75" s="75">
        <f>H56+IF(H$10=5,H67+'Escrow Roll'!$G$9,H35)</f>
        <v/>
      </c>
      <c r="I75" s="75">
        <f>I56+IF(I$10=5,I67+'Escrow Roll'!$G$9,I35)</f>
        <v/>
      </c>
    </row>
    <row r="76">
      <c r="B76" s="68" t="inlineStr">
        <is>
          <t>Y6</t>
        </is>
      </c>
      <c r="C76" s="75">
        <f>IF(C$10=5,0,C57)</f>
        <v/>
      </c>
      <c r="D76" s="75">
        <f>IF(D$10=5,0,D57)</f>
        <v/>
      </c>
      <c r="E76" s="75">
        <f>IF(E$10=5,0,E57)</f>
        <v/>
      </c>
      <c r="F76" s="75">
        <f>IF(F$10=5,0,F57)</f>
        <v/>
      </c>
      <c r="G76" s="75">
        <f>IF(G$10=5,0,G57)</f>
        <v/>
      </c>
      <c r="H76" s="75">
        <f>IF(H$10=5,0,H57)</f>
        <v/>
      </c>
      <c r="I76" s="75">
        <f>IF(I$10=5,0,I57)</f>
        <v/>
      </c>
    </row>
    <row r="77">
      <c r="B77" s="68" t="inlineStr">
        <is>
          <t>Y7</t>
        </is>
      </c>
      <c r="C77" s="75">
        <f>IF(C$10=5,0,C58)</f>
        <v/>
      </c>
      <c r="D77" s="75">
        <f>IF(D$10=5,0,D58)</f>
        <v/>
      </c>
      <c r="E77" s="75">
        <f>IF(E$10=5,0,E58)</f>
        <v/>
      </c>
      <c r="F77" s="75">
        <f>IF(F$10=5,0,F58)</f>
        <v/>
      </c>
      <c r="G77" s="75">
        <f>IF(G$10=5,0,G58)</f>
        <v/>
      </c>
      <c r="H77" s="75">
        <f>IF(H$10=5,0,H58)</f>
        <v/>
      </c>
      <c r="I77" s="75">
        <f>IF(I$10=5,0,I58)</f>
        <v/>
      </c>
    </row>
    <row r="78">
      <c r="B78" s="68" t="inlineStr">
        <is>
          <t>Y8</t>
        </is>
      </c>
      <c r="C78" s="75">
        <f>IF(C$10=5,0,C59)</f>
        <v/>
      </c>
      <c r="D78" s="75">
        <f>IF(D$10=5,0,D59)</f>
        <v/>
      </c>
      <c r="E78" s="75">
        <f>IF(E$10=5,0,E59)</f>
        <v/>
      </c>
      <c r="F78" s="75">
        <f>IF(F$10=5,0,F59)</f>
        <v/>
      </c>
      <c r="G78" s="75">
        <f>IF(G$10=5,0,G59)</f>
        <v/>
      </c>
      <c r="H78" s="75">
        <f>IF(H$10=5,0,H59)</f>
        <v/>
      </c>
      <c r="I78" s="75">
        <f>IF(I$10=5,0,I59)</f>
        <v/>
      </c>
    </row>
    <row r="79">
      <c r="B79" s="68" t="inlineStr">
        <is>
          <t>Y9</t>
        </is>
      </c>
      <c r="C79" s="75">
        <f>IF(C$10=5,0,C60)</f>
        <v/>
      </c>
      <c r="D79" s="75">
        <f>IF(D$10=5,0,D60)</f>
        <v/>
      </c>
      <c r="E79" s="75">
        <f>IF(E$10=5,0,E60)</f>
        <v/>
      </c>
      <c r="F79" s="75">
        <f>IF(F$10=5,0,F60)</f>
        <v/>
      </c>
      <c r="G79" s="75">
        <f>IF(G$10=5,0,G60)</f>
        <v/>
      </c>
      <c r="H79" s="75">
        <f>IF(H$10=5,0,H60)</f>
        <v/>
      </c>
      <c r="I79" s="75">
        <f>IF(I$10=5,0,I60)</f>
        <v/>
      </c>
    </row>
    <row r="80">
      <c r="B80" s="68" t="inlineStr">
        <is>
          <t>Y10</t>
        </is>
      </c>
      <c r="C80" s="75">
        <f>IF(C$10=5,0,C61+C67+$C$17)</f>
        <v/>
      </c>
      <c r="D80" s="75">
        <f>IF(D$10=5,0,D61+D67+$C$17)</f>
        <v/>
      </c>
      <c r="E80" s="75">
        <f>IF(E$10=5,0,E61+E67+$C$17)</f>
        <v/>
      </c>
      <c r="F80" s="75">
        <f>IF(F$10=5,0,F61+F67+$C$17)</f>
        <v/>
      </c>
      <c r="G80" s="75">
        <f>IF(G$10=5,0,G61+G67+$C$17)</f>
        <v/>
      </c>
      <c r="H80" s="75">
        <f>IF(H$10=5,0,H61+H67+$C$17)</f>
        <v/>
      </c>
      <c r="I80" s="75">
        <f>IF(I$10=5,0,I61+I67+$C$17)</f>
        <v/>
      </c>
    </row>
    <row r="82">
      <c r="B82" s="76" t="inlineStr">
        <is>
          <t>Project IRR (gross)</t>
        </is>
      </c>
      <c r="C82" s="77">
        <f>IF(C$10=5,IRR(C70:C75),IRR(C70:C80))</f>
        <v/>
      </c>
      <c r="D82" s="77">
        <f>IF(D$10=5,IRR(D70:D75),IRR(D70:D80))</f>
        <v/>
      </c>
      <c r="E82" s="77">
        <f>IF(E$10=5,IRR(E70:E75),IRR(E70:E80))</f>
        <v/>
      </c>
      <c r="F82" s="77">
        <f>IF(F$10=5,IRR(F70:F75),IRR(F70:F80))</f>
        <v/>
      </c>
      <c r="G82" s="77">
        <f>IF(G$10=5,IRR(G70:G75),IRR(G70:G80))</f>
        <v/>
      </c>
      <c r="H82" s="77">
        <f>IF(H$10=5,IRR(H70:H75),IRR(H70:H80))</f>
        <v/>
      </c>
      <c r="I82" s="77">
        <f>IF(I$10=5,IRR(I70:I75),IRR(I70:I80))</f>
        <v/>
      </c>
    </row>
    <row r="83">
      <c r="B83" s="68" t="inlineStr">
        <is>
          <t>Project Equity Multiple</t>
        </is>
      </c>
      <c r="C83" s="79">
        <f>IF(C$10=5,SUM(C71:C75)/-C70,SUM(C71:C80)/-C70)</f>
        <v/>
      </c>
      <c r="D83" s="79">
        <f>IF(D$10=5,SUM(D71:D75)/-D70,SUM(D71:D80)/-D70)</f>
        <v/>
      </c>
      <c r="E83" s="79">
        <f>IF(E$10=5,SUM(E71:E75)/-E70,SUM(E71:E80)/-E70)</f>
        <v/>
      </c>
      <c r="F83" s="79">
        <f>IF(F$10=5,SUM(F71:F75)/-F70,SUM(F71:F80)/-F70)</f>
        <v/>
      </c>
      <c r="G83" s="79">
        <f>IF(G$10=5,SUM(G71:G75)/-G70,SUM(G71:G80)/-G70)</f>
        <v/>
      </c>
      <c r="H83" s="79">
        <f>IF(H$10=5,SUM(H71:H75)/-H70,SUM(H71:H80)/-H70)</f>
        <v/>
      </c>
      <c r="I83" s="79">
        <f>IF(I$10=5,SUM(I71:I75)/-I70,SUM(I71:I80)/-I70)</f>
        <v/>
      </c>
    </row>
    <row r="85">
      <c r="B85" s="67" t="inlineStr">
        <is>
          <t>LP WATERFALL  (T1 ROC → T2 Pref 1.25× → T3 80/20)</t>
        </is>
      </c>
    </row>
    <row r="86">
      <c r="B86" s="68" t="inlineStr">
        <is>
          <t>Cum Project CF (Y1..Yexit)</t>
        </is>
      </c>
      <c r="C86" s="75">
        <f>IF(C$10=5,SUM(C71:C75),SUM(C71:C80))</f>
        <v/>
      </c>
      <c r="D86" s="75">
        <f>IF(D$10=5,SUM(D71:D75),SUM(D71:D80))</f>
        <v/>
      </c>
      <c r="E86" s="75">
        <f>IF(E$10=5,SUM(E71:E75),SUM(E71:E80))</f>
        <v/>
      </c>
      <c r="F86" s="75">
        <f>IF(F$10=5,SUM(F71:F75),SUM(F71:F80))</f>
        <v/>
      </c>
      <c r="G86" s="75">
        <f>IF(G$10=5,SUM(G71:G75),SUM(G71:G80))</f>
        <v/>
      </c>
      <c r="H86" s="75">
        <f>IF(H$10=5,SUM(H71:H75),SUM(H71:H80))</f>
        <v/>
      </c>
      <c r="I86" s="75">
        <f>IF(I$10=5,SUM(I71:I75),SUM(I71:I80))</f>
        <v/>
      </c>
    </row>
    <row r="87">
      <c r="B87" s="68" t="inlineStr">
        <is>
          <t>TVC net of Mgmt Fees</t>
        </is>
      </c>
      <c r="C87" s="75">
        <f>C86-C$10*$C$14</f>
        <v/>
      </c>
      <c r="D87" s="75">
        <f>D86-D$10*$C$14</f>
        <v/>
      </c>
      <c r="E87" s="75">
        <f>E86-E$10*$C$14</f>
        <v/>
      </c>
      <c r="F87" s="75">
        <f>F86-F$10*$C$14</f>
        <v/>
      </c>
      <c r="G87" s="75">
        <f>G86-G$10*$C$14</f>
        <v/>
      </c>
      <c r="H87" s="75">
        <f>H86-H$10*$C$14</f>
        <v/>
      </c>
      <c r="I87" s="75">
        <f>I86-I$10*$C$14</f>
        <v/>
      </c>
    </row>
    <row r="88">
      <c r="B88" s="68" t="inlineStr">
        <is>
          <t>T1: Return of Capital</t>
        </is>
      </c>
      <c r="C88" s="75">
        <f>MIN(C87,$C$13)</f>
        <v/>
      </c>
      <c r="D88" s="75">
        <f>MIN(D87,$C$13)</f>
        <v/>
      </c>
      <c r="E88" s="75">
        <f>MIN(E87,$C$13)</f>
        <v/>
      </c>
      <c r="F88" s="75">
        <f>MIN(F87,$C$13)</f>
        <v/>
      </c>
      <c r="G88" s="75">
        <f>MIN(G87,$C$13)</f>
        <v/>
      </c>
      <c r="H88" s="75">
        <f>MIN(H87,$C$13)</f>
        <v/>
      </c>
      <c r="I88" s="75">
        <f>MIN(I87,$C$13)</f>
        <v/>
      </c>
    </row>
    <row r="89">
      <c r="B89" s="68" t="inlineStr">
        <is>
          <t>T2: Pref (to 1.25×)</t>
        </is>
      </c>
      <c r="C89" s="75">
        <f>MIN(MAX(C87-$C$13,0),$C$13*(Inputs!$C$45-1))</f>
        <v/>
      </c>
      <c r="D89" s="75">
        <f>MIN(MAX(D87-$C$13,0),$C$13*(Inputs!$C$45-1))</f>
        <v/>
      </c>
      <c r="E89" s="75">
        <f>MIN(MAX(E87-$C$13,0),$C$13*(Inputs!$C$45-1))</f>
        <v/>
      </c>
      <c r="F89" s="75">
        <f>MIN(MAX(F87-$C$13,0),$C$13*(Inputs!$C$45-1))</f>
        <v/>
      </c>
      <c r="G89" s="75">
        <f>MIN(MAX(G87-$C$13,0),$C$13*(Inputs!$C$45-1))</f>
        <v/>
      </c>
      <c r="H89" s="75">
        <f>MIN(MAX(H87-$C$13,0),$C$13*(Inputs!$C$45-1))</f>
        <v/>
      </c>
      <c r="I89" s="75">
        <f>MIN(MAX(I87-$C$13,0),$C$13*(Inputs!$C$45-1))</f>
        <v/>
      </c>
    </row>
    <row r="90">
      <c r="B90" s="68" t="inlineStr">
        <is>
          <t>T3 LP Share (80%)</t>
        </is>
      </c>
      <c r="C90" s="75">
        <f>MAX(C87-$C$13*Inputs!$C$45,0)*Inputs!$C$46</f>
        <v/>
      </c>
      <c r="D90" s="75">
        <f>MAX(D87-$C$13*Inputs!$C$45,0)*Inputs!$C$46</f>
        <v/>
      </c>
      <c r="E90" s="75">
        <f>MAX(E87-$C$13*Inputs!$C$45,0)*Inputs!$C$46</f>
        <v/>
      </c>
      <c r="F90" s="75">
        <f>MAX(F87-$C$13*Inputs!$C$45,0)*Inputs!$C$46</f>
        <v/>
      </c>
      <c r="G90" s="75">
        <f>MAX(G87-$C$13*Inputs!$C$45,0)*Inputs!$C$46</f>
        <v/>
      </c>
      <c r="H90" s="75">
        <f>MAX(H87-$C$13*Inputs!$C$45,0)*Inputs!$C$46</f>
        <v/>
      </c>
      <c r="I90" s="75">
        <f>MAX(I87-$C$13*Inputs!$C$45,0)*Inputs!$C$46</f>
        <v/>
      </c>
    </row>
    <row r="91">
      <c r="B91" s="68" t="inlineStr">
        <is>
          <t>Total to LP</t>
        </is>
      </c>
      <c r="C91" s="75">
        <f>C88+C89+C90</f>
        <v/>
      </c>
      <c r="D91" s="75">
        <f>D88+D89+D90</f>
        <v/>
      </c>
      <c r="E91" s="75">
        <f>E88+E89+E90</f>
        <v/>
      </c>
      <c r="F91" s="75">
        <f>F88+F89+F90</f>
        <v/>
      </c>
      <c r="G91" s="75">
        <f>G88+G89+G90</f>
        <v/>
      </c>
      <c r="H91" s="75">
        <f>H88+H89+H90</f>
        <v/>
      </c>
      <c r="I91" s="75">
        <f>I88+I89+I90</f>
        <v/>
      </c>
    </row>
    <row r="93">
      <c r="B93" s="67" t="inlineStr">
        <is>
          <t>LP CASH FLOW STREAM  (for LP IRR)</t>
        </is>
      </c>
    </row>
    <row r="94">
      <c r="B94" s="68" t="inlineStr">
        <is>
          <t>Y0</t>
        </is>
      </c>
      <c r="C94" s="75">
        <f>-$C$13</f>
        <v/>
      </c>
      <c r="D94" s="75">
        <f>-$C$13</f>
        <v/>
      </c>
      <c r="E94" s="75">
        <f>-$C$13</f>
        <v/>
      </c>
      <c r="F94" s="75">
        <f>-$C$13</f>
        <v/>
      </c>
      <c r="G94" s="75">
        <f>-$C$13</f>
        <v/>
      </c>
      <c r="H94" s="75">
        <f>-$C$13</f>
        <v/>
      </c>
      <c r="I94" s="75">
        <f>-$C$13</f>
        <v/>
      </c>
    </row>
    <row r="95">
      <c r="B95" s="68" t="inlineStr">
        <is>
          <t>Y1</t>
        </is>
      </c>
      <c r="C95" s="75">
        <f>C71-$C$14</f>
        <v/>
      </c>
      <c r="D95" s="75">
        <f>D71-$C$14</f>
        <v/>
      </c>
      <c r="E95" s="75">
        <f>E71-$C$14</f>
        <v/>
      </c>
      <c r="F95" s="75">
        <f>F71-$C$14</f>
        <v/>
      </c>
      <c r="G95" s="75">
        <f>G71-$C$14</f>
        <v/>
      </c>
      <c r="H95" s="75">
        <f>H71-$C$14</f>
        <v/>
      </c>
      <c r="I95" s="75">
        <f>I71-$C$14</f>
        <v/>
      </c>
    </row>
    <row r="96">
      <c r="B96" s="68" t="inlineStr">
        <is>
          <t>Y2</t>
        </is>
      </c>
      <c r="C96" s="75">
        <f>C72-$C$14</f>
        <v/>
      </c>
      <c r="D96" s="75">
        <f>D72-$C$14</f>
        <v/>
      </c>
      <c r="E96" s="75">
        <f>E72-$C$14</f>
        <v/>
      </c>
      <c r="F96" s="75">
        <f>F72-$C$14</f>
        <v/>
      </c>
      <c r="G96" s="75">
        <f>G72-$C$14</f>
        <v/>
      </c>
      <c r="H96" s="75">
        <f>H72-$C$14</f>
        <v/>
      </c>
      <c r="I96" s="75">
        <f>I72-$C$14</f>
        <v/>
      </c>
    </row>
    <row r="97">
      <c r="B97" s="68" t="inlineStr">
        <is>
          <t>Y3</t>
        </is>
      </c>
      <c r="C97" s="75">
        <f>C73-$C$14</f>
        <v/>
      </c>
      <c r="D97" s="75">
        <f>D73-$C$14</f>
        <v/>
      </c>
      <c r="E97" s="75">
        <f>E73-$C$14</f>
        <v/>
      </c>
      <c r="F97" s="75">
        <f>F73-$C$14</f>
        <v/>
      </c>
      <c r="G97" s="75">
        <f>G73-$C$14</f>
        <v/>
      </c>
      <c r="H97" s="75">
        <f>H73-$C$14</f>
        <v/>
      </c>
      <c r="I97" s="75">
        <f>I73-$C$14</f>
        <v/>
      </c>
    </row>
    <row r="98">
      <c r="B98" s="68" t="inlineStr">
        <is>
          <t>Y4</t>
        </is>
      </c>
      <c r="C98" s="75">
        <f>C74-$C$14</f>
        <v/>
      </c>
      <c r="D98" s="75">
        <f>D74-$C$14</f>
        <v/>
      </c>
      <c r="E98" s="75">
        <f>E74-$C$14</f>
        <v/>
      </c>
      <c r="F98" s="75">
        <f>F74-$C$14</f>
        <v/>
      </c>
      <c r="G98" s="75">
        <f>G74-$C$14</f>
        <v/>
      </c>
      <c r="H98" s="75">
        <f>H74-$C$14</f>
        <v/>
      </c>
      <c r="I98" s="75">
        <f>I74-$C$14</f>
        <v/>
      </c>
    </row>
    <row r="99">
      <c r="B99" s="68" t="inlineStr">
        <is>
          <t>Y5</t>
        </is>
      </c>
      <c r="C99" s="75">
        <f>IF(C$10=5,C91-SUM(C95:C98),C75-$C$14)</f>
        <v/>
      </c>
      <c r="D99" s="75">
        <f>IF(D$10=5,D91-SUM(D95:D98),D75-$C$14)</f>
        <v/>
      </c>
      <c r="E99" s="75">
        <f>IF(E$10=5,E91-SUM(E95:E98),E75-$C$14)</f>
        <v/>
      </c>
      <c r="F99" s="75">
        <f>IF(F$10=5,F91-SUM(F95:F98),F75-$C$14)</f>
        <v/>
      </c>
      <c r="G99" s="75">
        <f>IF(G$10=5,G91-SUM(G95:G98),G75-$C$14)</f>
        <v/>
      </c>
      <c r="H99" s="75">
        <f>IF(H$10=5,H91-SUM(H95:H98),H75-$C$14)</f>
        <v/>
      </c>
      <c r="I99" s="75">
        <f>IF(I$10=5,I91-SUM(I95:I98),I75-$C$14)</f>
        <v/>
      </c>
    </row>
    <row r="100">
      <c r="B100" s="68" t="inlineStr">
        <is>
          <t>Y6</t>
        </is>
      </c>
      <c r="C100" s="75">
        <f>IF(C$10=5,0,C76-$C$14)</f>
        <v/>
      </c>
      <c r="D100" s="75">
        <f>IF(D$10=5,0,D76-$C$14)</f>
        <v/>
      </c>
      <c r="E100" s="75">
        <f>IF(E$10=5,0,E76-$C$14)</f>
        <v/>
      </c>
      <c r="F100" s="75">
        <f>IF(F$10=5,0,F76-$C$14)</f>
        <v/>
      </c>
      <c r="G100" s="75">
        <f>IF(G$10=5,0,G76-$C$14)</f>
        <v/>
      </c>
      <c r="H100" s="75">
        <f>IF(H$10=5,0,H76-$C$14)</f>
        <v/>
      </c>
      <c r="I100" s="75">
        <f>IF(I$10=5,0,I76-$C$14)</f>
        <v/>
      </c>
    </row>
    <row r="101">
      <c r="B101" s="68" t="inlineStr">
        <is>
          <t>Y7</t>
        </is>
      </c>
      <c r="C101" s="75">
        <f>IF(C$10=5,0,C77-$C$14)</f>
        <v/>
      </c>
      <c r="D101" s="75">
        <f>IF(D$10=5,0,D77-$C$14)</f>
        <v/>
      </c>
      <c r="E101" s="75">
        <f>IF(E$10=5,0,E77-$C$14)</f>
        <v/>
      </c>
      <c r="F101" s="75">
        <f>IF(F$10=5,0,F77-$C$14)</f>
        <v/>
      </c>
      <c r="G101" s="75">
        <f>IF(G$10=5,0,G77-$C$14)</f>
        <v/>
      </c>
      <c r="H101" s="75">
        <f>IF(H$10=5,0,H77-$C$14)</f>
        <v/>
      </c>
      <c r="I101" s="75">
        <f>IF(I$10=5,0,I77-$C$14)</f>
        <v/>
      </c>
    </row>
    <row r="102">
      <c r="B102" s="68" t="inlineStr">
        <is>
          <t>Y8</t>
        </is>
      </c>
      <c r="C102" s="75">
        <f>IF(C$10=5,0,C78-$C$14)</f>
        <v/>
      </c>
      <c r="D102" s="75">
        <f>IF(D$10=5,0,D78-$C$14)</f>
        <v/>
      </c>
      <c r="E102" s="75">
        <f>IF(E$10=5,0,E78-$C$14)</f>
        <v/>
      </c>
      <c r="F102" s="75">
        <f>IF(F$10=5,0,F78-$C$14)</f>
        <v/>
      </c>
      <c r="G102" s="75">
        <f>IF(G$10=5,0,G78-$C$14)</f>
        <v/>
      </c>
      <c r="H102" s="75">
        <f>IF(H$10=5,0,H78-$C$14)</f>
        <v/>
      </c>
      <c r="I102" s="75">
        <f>IF(I$10=5,0,I78-$C$14)</f>
        <v/>
      </c>
    </row>
    <row r="103">
      <c r="B103" s="68" t="inlineStr">
        <is>
          <t>Y9</t>
        </is>
      </c>
      <c r="C103" s="75">
        <f>IF(C$10=5,0,C79-$C$14)</f>
        <v/>
      </c>
      <c r="D103" s="75">
        <f>IF(D$10=5,0,D79-$C$14)</f>
        <v/>
      </c>
      <c r="E103" s="75">
        <f>IF(E$10=5,0,E79-$C$14)</f>
        <v/>
      </c>
      <c r="F103" s="75">
        <f>IF(F$10=5,0,F79-$C$14)</f>
        <v/>
      </c>
      <c r="G103" s="75">
        <f>IF(G$10=5,0,G79-$C$14)</f>
        <v/>
      </c>
      <c r="H103" s="75">
        <f>IF(H$10=5,0,H79-$C$14)</f>
        <v/>
      </c>
      <c r="I103" s="75">
        <f>IF(I$10=5,0,I79-$C$14)</f>
        <v/>
      </c>
    </row>
    <row r="104">
      <c r="B104" s="68" t="inlineStr">
        <is>
          <t>Y10 (residual)</t>
        </is>
      </c>
      <c r="C104" s="75">
        <f>IF(C$10=5,0,C91-SUM(C95:C103))</f>
        <v/>
      </c>
      <c r="D104" s="75">
        <f>IF(D$10=5,0,D91-SUM(D95:D103))</f>
        <v/>
      </c>
      <c r="E104" s="75">
        <f>IF(E$10=5,0,E91-SUM(E95:E103))</f>
        <v/>
      </c>
      <c r="F104" s="75">
        <f>IF(F$10=5,0,F91-SUM(F95:F103))</f>
        <v/>
      </c>
      <c r="G104" s="75">
        <f>IF(G$10=5,0,G91-SUM(G95:G103))</f>
        <v/>
      </c>
      <c r="H104" s="75">
        <f>IF(H$10=5,0,H91-SUM(H95:H103))</f>
        <v/>
      </c>
      <c r="I104" s="75">
        <f>IF(I$10=5,0,I91-SUM(I95:I103))</f>
        <v/>
      </c>
    </row>
    <row r="106">
      <c r="B106" s="67" t="inlineStr">
        <is>
          <t>RETURNS  (per scenario)</t>
        </is>
      </c>
    </row>
    <row r="107">
      <c r="B107" s="76" t="inlineStr">
        <is>
          <t>LP IRR (net)</t>
        </is>
      </c>
      <c r="C107" s="77">
        <f>Sensitivity_LandPrice!G50</f>
        <v/>
      </c>
      <c r="D107" s="77">
        <f>Sensitivity_LandPrice!E50</f>
        <v/>
      </c>
      <c r="E107" s="77">
        <f>Sensitivity_LandPrice!C50</f>
        <v/>
      </c>
      <c r="F107" s="77">
        <f>IF(F$10=5,IRR(F94:F99),IRR(F94:F104))</f>
        <v/>
      </c>
      <c r="G107" s="77">
        <f>IF(G$10=5,IRR(G94:G99),IRR(G94:G104))</f>
        <v/>
      </c>
      <c r="H107" s="77">
        <f>IF(H$10=5,IRR(H94:H99),IRR(H94:H104))</f>
        <v/>
      </c>
      <c r="I107" s="77">
        <f>IF(I$10=5,IRR(I94:I99),IRR(I94:I104))</f>
        <v/>
      </c>
    </row>
    <row r="108">
      <c r="B108" s="76" t="inlineStr">
        <is>
          <t>LP Equity Multiple</t>
        </is>
      </c>
      <c r="C108" s="78">
        <f>Sensitivity_LandPrice!G51</f>
        <v/>
      </c>
      <c r="D108" s="78">
        <f>Sensitivity_LandPrice!E51</f>
        <v/>
      </c>
      <c r="E108" s="78">
        <f>Sensitivity_LandPrice!C51</f>
        <v/>
      </c>
      <c r="F108" s="78">
        <f>F91/$C$13</f>
        <v/>
      </c>
      <c r="G108" s="78">
        <f>G91/$C$13</f>
        <v/>
      </c>
      <c r="H108" s="78">
        <f>H91/$C$13</f>
        <v/>
      </c>
      <c r="I108" s="78">
        <f>I91/$C$13</f>
        <v/>
      </c>
    </row>
    <row r="109">
      <c r="B109" s="68" t="inlineStr">
        <is>
          <t>Exit Value (Gross Sale)</t>
        </is>
      </c>
      <c r="C109" s="84">
        <f>C64</f>
        <v/>
      </c>
      <c r="D109" s="84">
        <f>D64</f>
        <v/>
      </c>
      <c r="E109" s="84">
        <f>E64</f>
        <v/>
      </c>
      <c r="F109" s="84">
        <f>F64</f>
        <v/>
      </c>
      <c r="G109" s="84">
        <f>G64</f>
        <v/>
      </c>
      <c r="H109" s="84">
        <f>H64</f>
        <v/>
      </c>
      <c r="I109" s="84">
        <f>I64</f>
        <v/>
      </c>
    </row>
    <row r="110">
      <c r="B110" s="68" t="inlineStr">
        <is>
          <t>Δ LP IRR vs Base (pp)</t>
        </is>
      </c>
      <c r="C110" s="92">
        <f>(C107-$C$107)*100</f>
        <v/>
      </c>
      <c r="D110" s="92">
        <f>(D107-$C$107)*100</f>
        <v/>
      </c>
      <c r="E110" s="92">
        <f>(E107-$C$107)*100</f>
        <v/>
      </c>
      <c r="F110" s="92">
        <f>(F107-$C$107)*100</f>
        <v/>
      </c>
      <c r="G110" s="92">
        <f>(G107-$C$107)*100</f>
        <v/>
      </c>
      <c r="H110" s="92">
        <f>(H107-$C$107)*100</f>
        <v/>
      </c>
      <c r="I110" s="92">
        <f>(I107-$C$107)*100</f>
        <v/>
      </c>
    </row>
    <row r="111">
      <c r="B111" s="66" t="inlineStr">
        <is>
          <t>Tie-out note</t>
        </is>
      </c>
      <c r="C111" s="94">
        <f>Sensitivity_LandPrice!G50</f>
        <v/>
      </c>
      <c r="D111" s="95" t="inlineStr">
        <is>
          <t>Base / Land -17% / Land -33% (cols C/D/E) pull from Sensitivity_LandPrice (precise Op CF Returns model). Other 4 stress scenarios use the mini-model above. Row 110 deltas now reconcile to deck Slide 20.</t>
        </is>
      </c>
    </row>
    <row r="113">
      <c r="B113" s="67" t="inlineStr">
        <is>
          <t>DEBT SERVICE COVERAGE RATIO BY YEAR  (Base case)</t>
        </is>
      </c>
    </row>
    <row r="114">
      <c r="B114" s="68" t="inlineStr"/>
      <c r="C114" s="80" t="inlineStr">
        <is>
          <t>Y1</t>
        </is>
      </c>
      <c r="D114" s="80" t="inlineStr">
        <is>
          <t>Y2</t>
        </is>
      </c>
      <c r="E114" s="80" t="inlineStr">
        <is>
          <t>Y3</t>
        </is>
      </c>
      <c r="F114" s="80" t="inlineStr">
        <is>
          <t>Y4</t>
        </is>
      </c>
      <c r="G114" s="80" t="inlineStr">
        <is>
          <t>Y5</t>
        </is>
      </c>
      <c r="H114" s="80" t="inlineStr">
        <is>
          <t>Y6</t>
        </is>
      </c>
      <c r="I114" s="80" t="inlineStr">
        <is>
          <t>Y7</t>
        </is>
      </c>
      <c r="J114" s="80" t="inlineStr">
        <is>
          <t>Y8</t>
        </is>
      </c>
      <c r="K114" s="80" t="inlineStr">
        <is>
          <t>Y9</t>
        </is>
      </c>
      <c r="L114" s="80" t="inlineStr">
        <is>
          <t>Y10</t>
        </is>
      </c>
    </row>
    <row r="115">
      <c r="B115" s="68" t="inlineStr">
        <is>
          <t>NOI</t>
        </is>
      </c>
      <c r="C115" s="84">
        <f>'NOI Build'!$C$15</f>
        <v/>
      </c>
      <c r="D115" s="84">
        <f>'NOI Build'!$D$15</f>
        <v/>
      </c>
      <c r="E115" s="84">
        <f>'NOI Build'!$E$15</f>
        <v/>
      </c>
      <c r="F115" s="84">
        <f>'NOI Build'!$F$15</f>
        <v/>
      </c>
      <c r="G115" s="84">
        <f>'NOI Build'!$G$15</f>
        <v/>
      </c>
      <c r="H115" s="84">
        <f>'NOI Build'!$H$15</f>
        <v/>
      </c>
      <c r="I115" s="84">
        <f>'NOI Build'!$I$15</f>
        <v/>
      </c>
      <c r="J115" s="84">
        <f>'NOI Build'!$J$15</f>
        <v/>
      </c>
      <c r="K115" s="84">
        <f>'NOI Build'!$K$15</f>
        <v/>
      </c>
      <c r="L115" s="84">
        <f>'NOI Build'!$L$15</f>
        <v/>
      </c>
    </row>
    <row r="116">
      <c r="B116" s="68" t="inlineStr">
        <is>
          <t>Debt Service</t>
        </is>
      </c>
      <c r="C116" s="84">
        <f>'Debt Service'!$C$17</f>
        <v/>
      </c>
      <c r="D116" s="84">
        <f>'Debt Service'!$D$17</f>
        <v/>
      </c>
      <c r="E116" s="84">
        <f>'Debt Service'!$E$17</f>
        <v/>
      </c>
      <c r="F116" s="84">
        <f>'Debt Service'!$F$17</f>
        <v/>
      </c>
      <c r="G116" s="84">
        <f>'Debt Service'!$G$17</f>
        <v/>
      </c>
      <c r="H116" s="84">
        <f>'Debt Service'!$H$17</f>
        <v/>
      </c>
      <c r="I116" s="84">
        <f>'Debt Service'!$I$17</f>
        <v/>
      </c>
      <c r="J116" s="84">
        <f>'Debt Service'!$J$17</f>
        <v/>
      </c>
      <c r="K116" s="84">
        <f>'Debt Service'!$K$17</f>
        <v/>
      </c>
      <c r="L116" s="84">
        <f>'Debt Service'!$L$17</f>
        <v/>
      </c>
    </row>
    <row r="117">
      <c r="B117" s="76" t="inlineStr">
        <is>
          <t>DSCR</t>
        </is>
      </c>
      <c r="C117" s="78">
        <f>C115/C116</f>
        <v/>
      </c>
      <c r="D117" s="78">
        <f>D115/D116</f>
        <v/>
      </c>
      <c r="E117" s="78">
        <f>E115/E116</f>
        <v/>
      </c>
      <c r="F117" s="78">
        <f>F115/F116</f>
        <v/>
      </c>
      <c r="G117" s="78">
        <f>G115/G116</f>
        <v/>
      </c>
      <c r="H117" s="78">
        <f>H115/H116</f>
        <v/>
      </c>
      <c r="I117" s="78">
        <f>I115/I116</f>
        <v/>
      </c>
      <c r="J117" s="78">
        <f>J115/J116</f>
        <v/>
      </c>
      <c r="K117" s="78">
        <f>K115/K116</f>
        <v/>
      </c>
      <c r="L117" s="78">
        <f>L115/L116</f>
        <v/>
      </c>
    </row>
    <row r="119">
      <c r="B119" s="76" t="inlineStr">
        <is>
          <t>Min DSCR (Y1-Y10)</t>
        </is>
      </c>
      <c r="C119" s="78">
        <f>MIN(C117:L117)</f>
        <v/>
      </c>
      <c r="D119" s="66" t="inlineStr">
        <is>
          <t>SouthState covenant: 1.25×</t>
        </is>
      </c>
    </row>
    <row r="121" ht="42" customHeight="1" s="40">
      <c r="B121" s="66" t="inlineStr">
        <is>
          <t>All scenarios rebuild NOI · DS · Refi · Loan Balance · Net Sale · Project CF · LP Waterfall from the Inputs sheet. Edit yellow flex cells (rows 6-10) for custom stress cases. Mini-model uses simplified Op CF = NOI − DS (omits T-bill interest and escrow shortfall mechanics worth ~$0.2-0.4M / ~20 bps IRR vs official Base case).</t>
        </is>
      </c>
    </row>
  </sheetData>
  <mergeCells count="16">
    <mergeCell ref="B12:I12"/>
    <mergeCell ref="B30:I30"/>
    <mergeCell ref="B106:I106"/>
    <mergeCell ref="B69:I69"/>
    <mergeCell ref="D119:L119"/>
    <mergeCell ref="B2:I2"/>
    <mergeCell ref="B51:I51"/>
    <mergeCell ref="B113:I113"/>
    <mergeCell ref="B3:I3"/>
    <mergeCell ref="B19:I19"/>
    <mergeCell ref="D111:I111"/>
    <mergeCell ref="B121:L121"/>
    <mergeCell ref="B63:I63"/>
    <mergeCell ref="B85:I85"/>
    <mergeCell ref="B93:I93"/>
    <mergeCell ref="B40:I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26"/>
  <sheetViews>
    <sheetView workbookViewId="0">
      <selection activeCell="A1" sqref="A1"/>
    </sheetView>
  </sheetViews>
  <sheetFormatPr baseColWidth="10" defaultColWidth="8.83203125" defaultRowHeight="15"/>
  <cols>
    <col width="3.6640625" customWidth="1" style="40" min="1" max="1"/>
    <col width="32.6640625" customWidth="1" style="40" min="2" max="2"/>
    <col width="72.6640625" customWidth="1" style="40" min="3" max="3"/>
  </cols>
  <sheetData>
    <row r="2" ht="16" customHeight="1" s="40">
      <c r="B2" s="41" t="inlineStr">
        <is>
          <t>SSF MTM OPERATING MODEL — DYNAMIC (FORMULA-DRIVEN)</t>
        </is>
      </c>
    </row>
    <row r="3">
      <c r="B3" t="inlineStr">
        <is>
          <t>Edit any yellow input cell and the entire model recomputes.</t>
        </is>
      </c>
    </row>
    <row r="5">
      <c r="B5" s="39" t="inlineStr">
        <is>
          <t>HOW THIS MODEL WORKS</t>
        </is>
      </c>
    </row>
    <row r="6">
      <c r="B6" s="8" t="inlineStr">
        <is>
          <t>Yellow cells</t>
        </is>
      </c>
      <c r="C6" t="inlineStr">
        <is>
          <t>Editable inputs. Change any of these and everything downstream updates automatically.</t>
        </is>
      </c>
    </row>
    <row r="7">
      <c r="B7" s="8" t="inlineStr">
        <is>
          <t>Grey cells</t>
        </is>
      </c>
      <c r="C7" t="inlineStr">
        <is>
          <t>Derived constants computed from inputs.</t>
        </is>
      </c>
    </row>
    <row r="8">
      <c r="B8" s="8" t="inlineStr">
        <is>
          <t>Blue cells</t>
        </is>
      </c>
      <c r="C8" t="inlineStr">
        <is>
          <t>Formula cells. Click to see the formula. They reference Inputs or other sheets.</t>
        </is>
      </c>
    </row>
    <row r="9">
      <c r="B9" s="8" t="inlineStr">
        <is>
          <t>Green cells</t>
        </is>
      </c>
      <c r="C9" t="inlineStr">
        <is>
          <t>Key outputs (NOI, IRR, EM). All driven by formulas — no hard-coded numbers.</t>
        </is>
      </c>
    </row>
    <row r="11">
      <c r="B11" s="39" t="inlineStr">
        <is>
          <t>AUDIT TRAIL</t>
        </is>
      </c>
    </row>
    <row r="12" ht="36" customHeight="1" s="40">
      <c r="B12" s="8" t="inlineStr">
        <is>
          <t>Inputs sheet</t>
        </is>
      </c>
      <c r="C12" t="inlineStr">
        <is>
          <t>All assumptions (market rent, TI/LC, escalator, opex, CVS, renewal-rate, capital stack, exit). Derived constants shown in grey.</t>
        </is>
      </c>
    </row>
    <row r="13" ht="36" customHeight="1" s="40">
      <c r="B13" s="8" t="inlineStr">
        <is>
          <t>Rent Roll</t>
        </is>
      </c>
      <c r="C13" t="inlineStr">
        <is>
          <t>20-suite master: SF, current PSF, lease expiry, status.</t>
        </is>
      </c>
    </row>
    <row r="14" ht="36" customHeight="1" s="40">
      <c r="B14" s="8" t="inlineStr">
        <is>
          <t>Rent by Suite</t>
        </is>
      </c>
      <c r="C14" t="inlineStr">
        <is>
          <t>Per-suite, year-by-year rent formulas referencing Rent Roll + Inputs. Click any cell to audit.</t>
        </is>
      </c>
    </row>
    <row r="15" ht="36" customHeight="1" s="40">
      <c r="B15" s="8" t="inlineStr">
        <is>
          <t>TI by Suite</t>
        </is>
      </c>
      <c r="C15" t="inlineStr">
        <is>
          <t>Per-suite, year-by-year TI/LC formulas. Pays out in rollover year only.</t>
        </is>
      </c>
    </row>
    <row r="16" ht="36" customHeight="1" s="40">
      <c r="B16" s="8" t="inlineStr">
        <is>
          <t>NOI Build</t>
        </is>
      </c>
      <c r="C16" t="inlineStr">
        <is>
          <t>Annual P&amp;L: base rent (sum from Rent by Suite) + CVS (formula) + recoveries (% × opex) + other - vacancy - opex = NOI.</t>
        </is>
      </c>
    </row>
    <row r="17" ht="36" customHeight="1" s="40">
      <c r="B17" s="8" t="inlineStr">
        <is>
          <t>TI-LC Schedule</t>
        </is>
      </c>
      <c r="C17" t="inlineStr">
        <is>
          <t>Annual = SUM from TI by Suite. Cumulative = running total.</t>
        </is>
      </c>
    </row>
    <row r="18" ht="36" customHeight="1" s="40">
      <c r="B18" s="8" t="inlineStr">
        <is>
          <t>Escrow Roll</t>
        </is>
      </c>
      <c r="C18" t="inlineStr">
        <is>
          <t>Begin → +T-bill → −TI/LC draw → End. Shortfall calculated when TI/LC exceeds escrow.</t>
        </is>
      </c>
    </row>
    <row r="19" ht="36" customHeight="1" s="40">
      <c r="B19" s="8" t="inlineStr">
        <is>
          <t>Debt Service</t>
        </is>
      </c>
      <c r="C19" t="inlineStr">
        <is>
          <t>Y1-2 IO; Y3-5 P&amp;I; Y5 refi at REIT cap × LTV; Y6-7 IO refi; Y8-10 P&amp;I refi.</t>
        </is>
      </c>
    </row>
    <row r="20" ht="36" customHeight="1" s="40">
      <c r="B20" s="8" t="inlineStr">
        <is>
          <t>Op CF Returns</t>
        </is>
      </c>
      <c r="C20" t="inlineStr">
        <is>
          <t>Op CF = NOI − DS − Shortfall + Interest. Project IRR = IRR(cash flows). LP IRR applies waterfall.</t>
        </is>
      </c>
    </row>
    <row r="21" ht="36" customHeight="1" s="40">
      <c r="B21" s="47" t="inlineStr">
        <is>
          <t>Next Buyer Econ</t>
        </is>
      </c>
      <c r="C21" s="51" t="inlineStr">
        <is>
          <t>MF developer pro forma — what the next buyer's deal looks like at our Y10 exit. Pulls Land $/SF and Land SF from Inputs; all buyer-side assumptions (FAR, hard cost, dev yield, exit cap) are yellow inputs on the tab itself.</t>
        </is>
      </c>
    </row>
    <row r="22">
      <c r="B22" s="47" t="inlineStr">
        <is>
          <t>Exit Scenarios</t>
        </is>
      </c>
      <c r="C22" s="93" t="inlineStr">
        <is>
          <t>Six pre-wired exit scenarios (S1-S6) — all formula-driven from Inputs.</t>
        </is>
      </c>
    </row>
    <row r="23">
      <c r="B23" s="47" t="inlineStr">
        <is>
          <t>Sensitivity_LandPrice</t>
        </is>
      </c>
      <c r="C23" s="93" t="inlineStr">
        <is>
          <t>Slide 17 — LP IRR / Multiple across $200-$400/SF exit land. Uses full Op CF stream.</t>
        </is>
      </c>
    </row>
    <row r="24">
      <c r="B24" s="47" t="inlineStr">
        <is>
          <t>Sensitivity_HoldPeriod</t>
        </is>
      </c>
      <c r="C24" s="93" t="inlineStr">
        <is>
          <t>Slide 18 — Base 10-yr vs 5-yr MF Developer ($246/SF) vs 5-yr REIT (5.5% cap). Pulls from Exit Scenarios.</t>
        </is>
      </c>
    </row>
    <row r="25">
      <c r="B25" s="47" t="inlineStr">
        <is>
          <t>Sensitivity_CVS</t>
        </is>
      </c>
      <c r="C25" s="93" t="inlineStr">
        <is>
          <t>Slide 19 — Base vs CVS Y7 Sale vs CVS Land Contribution (ride-along equity). Pulls from Exit Scenarios.</t>
        </is>
      </c>
    </row>
    <row r="26">
      <c r="B26" s="47" t="inlineStr">
        <is>
          <t>Sensitivity_Stress</t>
        </is>
      </c>
      <c r="C26" s="93" t="inlineStr">
        <is>
          <t>Slide 20 — Adverse scenarios (Land -17%/-33%, 5-yr hold, NOI -10%, Refi 6.5%, No Refi) + DSCR by year. Mini-model with editable flex cells.</t>
        </is>
      </c>
    </row>
  </sheetData>
  <mergeCells count="3">
    <mergeCell ref="B11:C11"/>
    <mergeCell ref="B5:C5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59"/>
  <sheetViews>
    <sheetView topLeftCell="A25" workbookViewId="0">
      <selection activeCell="C27" sqref="C27"/>
    </sheetView>
  </sheetViews>
  <sheetFormatPr baseColWidth="10" defaultColWidth="8.83203125" defaultRowHeight="15"/>
  <cols>
    <col width="3.6640625" customWidth="1" style="40" min="1" max="1"/>
    <col width="38.6640625" customWidth="1" style="40" min="2" max="2"/>
    <col width="16.6640625" customWidth="1" style="40" min="3" max="3"/>
    <col width="32.6640625" customWidth="1" style="40" min="4" max="4"/>
  </cols>
  <sheetData>
    <row r="2" ht="16" customHeight="1" s="40">
      <c r="B2" s="41" t="inlineStr">
        <is>
          <t>INPUTS — ALL EDITABLE ASSUMPTIONS</t>
        </is>
      </c>
    </row>
    <row r="3">
      <c r="B3" s="1" t="inlineStr">
        <is>
          <t>Yellow = edit me. Grey = derived. Every other sheet's formulas point here.</t>
        </is>
      </c>
    </row>
    <row r="5">
      <c r="B5" s="39" t="inlineStr">
        <is>
          <t>PROPERTY &amp; RENT THESIS</t>
        </is>
      </c>
    </row>
    <row r="6">
      <c r="B6" s="8" t="inlineStr">
        <is>
          <t>Market Rent ($/SF/yr)</t>
        </is>
      </c>
      <c r="C6" s="9" t="n">
        <v>42</v>
      </c>
    </row>
    <row r="7">
      <c r="B7" s="8" t="inlineStr">
        <is>
          <t>TI/LC ($/SF, full new lease)</t>
        </is>
      </c>
      <c r="C7" s="9" t="n">
        <v>40</v>
      </c>
    </row>
    <row r="8">
      <c r="B8" s="8" t="inlineStr">
        <is>
          <t>Annual Escalator</t>
        </is>
      </c>
      <c r="C8" s="10" t="n">
        <v>0.025</v>
      </c>
    </row>
    <row r="9">
      <c r="B9" s="8" t="inlineStr">
        <is>
          <t>Vacant Lease-Up Year</t>
        </is>
      </c>
      <c r="C9" s="11" t="n">
        <v>1</v>
      </c>
    </row>
    <row r="11">
      <c r="B11" s="39" t="inlineStr">
        <is>
          <t>OPERATING ASSUMPTIONS</t>
        </is>
      </c>
    </row>
    <row r="12">
      <c r="B12" s="8" t="inlineStr">
        <is>
          <t>Year 1 OpEx</t>
        </is>
      </c>
      <c r="C12" s="12" t="n">
        <v>754919</v>
      </c>
    </row>
    <row r="13">
      <c r="B13" s="8" t="inlineStr">
        <is>
          <t>OpEx Inflation</t>
        </is>
      </c>
      <c r="C13" s="10" t="n">
        <v>0.03</v>
      </c>
    </row>
    <row r="14">
      <c r="B14" s="8" t="inlineStr">
        <is>
          <t>Recovery Rate Y1</t>
        </is>
      </c>
      <c r="C14" s="10" t="n">
        <v>0.8</v>
      </c>
    </row>
    <row r="15">
      <c r="B15" s="8" t="inlineStr">
        <is>
          <t>Recovery Rate Stab (Y5+)</t>
        </is>
      </c>
      <c r="C15" s="10" t="n">
        <v>1</v>
      </c>
    </row>
    <row r="16">
      <c r="B16" s="8" t="inlineStr">
        <is>
          <t>Vacancy / Credit Loss</t>
        </is>
      </c>
      <c r="C16" s="10" t="n">
        <v>0.05</v>
      </c>
    </row>
    <row r="17">
      <c r="B17" s="8" t="inlineStr">
        <is>
          <t>Other Income ($/yr)</t>
        </is>
      </c>
      <c r="C17" s="12" t="n">
        <v>3120</v>
      </c>
    </row>
    <row r="19">
      <c r="B19" s="39" t="inlineStr">
        <is>
          <t>CVS GROUND LEASE</t>
        </is>
      </c>
    </row>
    <row r="20">
      <c r="B20" s="8" t="inlineStr">
        <is>
          <t>CVS Initial Rent ($/yr)</t>
        </is>
      </c>
      <c r="C20" s="12" t="n">
        <v>385000</v>
      </c>
      <c r="D20" s="1" t="inlineStr">
        <is>
          <t>Flat through 1/31/2033</t>
        </is>
      </c>
    </row>
    <row r="21">
      <c r="B21" s="8" t="inlineStr">
        <is>
          <t>CVS Option Step %</t>
        </is>
      </c>
      <c r="C21" s="10" t="n">
        <v>0.05</v>
      </c>
      <c r="D21" s="1" t="inlineStr">
        <is>
          <t>5% step per 5-yr option</t>
        </is>
      </c>
    </row>
    <row r="22">
      <c r="B22" s="1" t="inlineStr">
        <is>
          <t xml:space="preserve">  → Option 1 Rent (DERIVED)</t>
        </is>
      </c>
      <c r="C22" s="2">
        <f>C20*(1+C21)</f>
        <v/>
      </c>
      <c r="D22" s="1" t="inlineStr">
        <is>
          <t>Feb 2033 – Jan 2038</t>
        </is>
      </c>
    </row>
    <row r="23">
      <c r="B23" s="8" t="inlineStr">
        <is>
          <t>CVS Expiry Year Index (Y of hold)</t>
        </is>
      </c>
      <c r="C23" s="11" t="n">
        <v>8</v>
      </c>
      <c r="D23" s="1" t="inlineStr">
        <is>
          <t>Y8 = calendar 2033</t>
        </is>
      </c>
    </row>
    <row r="24">
      <c r="B24" s="8" t="inlineStr">
        <is>
          <t>CVS Expiry Month (within Y8)</t>
        </is>
      </c>
      <c r="C24" s="11" t="n">
        <v>1</v>
      </c>
      <c r="D24" s="1" t="inlineStr">
        <is>
          <t>1 = January (rolls Feb 1)</t>
        </is>
      </c>
    </row>
    <row r="26">
      <c r="B26" s="39" t="inlineStr">
        <is>
          <t>RENEWAL-RATE ASSUMPTIONS</t>
        </is>
      </c>
    </row>
    <row r="27">
      <c r="B27" s="8" t="inlineStr">
        <is>
          <t>Renewal Probability</t>
        </is>
      </c>
      <c r="C27" s="13" t="n">
        <v>0.75</v>
      </c>
    </row>
    <row r="28">
      <c r="B28" s="8" t="inlineStr">
        <is>
          <t>Renewal TI/LC Factor</t>
        </is>
      </c>
      <c r="C28" s="13" t="n">
        <v>0.105</v>
      </c>
    </row>
    <row r="29">
      <c r="B29" s="8" t="inlineStr">
        <is>
          <t>Non-Renewal Downtime (months)</t>
        </is>
      </c>
      <c r="C29" s="11" t="n">
        <v>8</v>
      </c>
    </row>
    <row r="30">
      <c r="B30" s="1" t="inlineStr">
        <is>
          <t xml:space="preserve">  → Downtime Fraction (DERIVED)</t>
        </is>
      </c>
      <c r="C30" s="14">
        <f>C29/12</f>
        <v/>
      </c>
    </row>
    <row r="31">
      <c r="B31" s="1" t="inlineStr">
        <is>
          <t xml:space="preserve">  → Rollover Rent Factor (DERIVED)</t>
        </is>
      </c>
      <c r="C31" s="14">
        <f>C27+(1-C27)*(1-C30)</f>
        <v/>
      </c>
    </row>
    <row r="32">
      <c r="B32" s="1" t="inlineStr">
        <is>
          <t xml:space="preserve">  → Rollover TI Factor (DERIVED)</t>
        </is>
      </c>
      <c r="C32" s="14">
        <f>C27*C28+(1-C27)</f>
        <v/>
      </c>
    </row>
    <row r="34">
      <c r="B34" s="39" t="inlineStr">
        <is>
          <t>CAPITAL STACK — SOUTHSTATE ALT</t>
        </is>
      </c>
    </row>
    <row r="35">
      <c r="B35" s="8" t="inlineStr">
        <is>
          <t>Loan Amount</t>
        </is>
      </c>
      <c r="C35" s="12" t="n">
        <v>19500000</v>
      </c>
    </row>
    <row r="36">
      <c r="B36" s="8" t="inlineStr">
        <is>
          <t>Interest Rate</t>
        </is>
      </c>
      <c r="C36" s="10" t="n">
        <v>0.0606</v>
      </c>
    </row>
    <row r="37">
      <c r="B37" s="8" t="inlineStr">
        <is>
          <t>Amortization (years)</t>
        </is>
      </c>
      <c r="C37" s="11" t="n">
        <v>30</v>
      </c>
    </row>
    <row r="38">
      <c r="B38" s="8" t="inlineStr">
        <is>
          <t>IO Period (years)</t>
        </is>
      </c>
      <c r="C38" s="11" t="n">
        <v>2</v>
      </c>
    </row>
    <row r="39">
      <c r="B39" s="8" t="inlineStr">
        <is>
          <t>Initial Loan Term (years)</t>
        </is>
      </c>
      <c r="C39" s="11" t="n">
        <v>5</v>
      </c>
    </row>
    <row r="40">
      <c r="B40" s="8" t="inlineStr">
        <is>
          <t>Total Equity Raised</t>
        </is>
      </c>
      <c r="C40" s="12" t="n">
        <v>14000000</v>
      </c>
    </row>
    <row r="41">
      <c r="B41" s="8" t="inlineStr">
        <is>
          <t>Equity to Basis</t>
        </is>
      </c>
      <c r="C41" s="12" t="n">
        <v>13000000</v>
      </c>
    </row>
    <row r="42">
      <c r="B42" s="1" t="inlineStr">
        <is>
          <t xml:space="preserve">  → Sponsor TI/LC Escrow (DERIVED)</t>
        </is>
      </c>
      <c r="C42" s="2">
        <f>C40-C41</f>
        <v/>
      </c>
    </row>
    <row r="43">
      <c r="B43" s="8" t="inlineStr">
        <is>
          <t>Escrow T-Bill Rate</t>
        </is>
      </c>
      <c r="C43" s="10" t="n">
        <v>0.0425</v>
      </c>
    </row>
    <row r="44">
      <c r="B44" s="8" t="inlineStr">
        <is>
          <t>Mgmt Fee (% of LP equity/yr)</t>
        </is>
      </c>
      <c r="C44" s="10" t="n">
        <v>0.0125</v>
      </c>
    </row>
    <row r="45">
      <c r="B45" s="8" t="inlineStr">
        <is>
          <t>Pref Return Multiple</t>
        </is>
      </c>
      <c r="C45" s="15" t="n">
        <v>1.25</v>
      </c>
    </row>
    <row r="46">
      <c r="B46" s="8" t="inlineStr">
        <is>
          <t>LP Profit Split (above pref)</t>
        </is>
      </c>
      <c r="C46" s="13" t="n">
        <v>0.8</v>
      </c>
    </row>
    <row r="48">
      <c r="B48" s="39" t="inlineStr">
        <is>
          <t>REFI (YEAR 5)</t>
        </is>
      </c>
    </row>
    <row r="49">
      <c r="B49" s="8" t="inlineStr">
        <is>
          <t>Refi Cap Rate</t>
        </is>
      </c>
      <c r="C49" s="10" t="n">
        <v>0.055</v>
      </c>
    </row>
    <row r="50">
      <c r="B50" s="8" t="inlineStr">
        <is>
          <t>Refi LTV</t>
        </is>
      </c>
      <c r="C50" s="13" t="n">
        <v>0.6</v>
      </c>
    </row>
    <row r="51">
      <c r="B51" s="8" t="inlineStr">
        <is>
          <t>Refi Interest Rate</t>
        </is>
      </c>
      <c r="C51" s="10" t="n">
        <v>0.05</v>
      </c>
    </row>
    <row r="52">
      <c r="B52" s="8" t="inlineStr">
        <is>
          <t>Refi IO Period (yrs)</t>
        </is>
      </c>
      <c r="C52" s="11" t="n">
        <v>2</v>
      </c>
    </row>
    <row r="53">
      <c r="B53" s="8" t="inlineStr">
        <is>
          <t>Refi Cost %</t>
        </is>
      </c>
      <c r="C53" s="10" t="n">
        <v>0.005</v>
      </c>
    </row>
    <row r="55">
      <c r="B55" s="39" t="inlineStr">
        <is>
          <t>EXIT ASSUMPTIONS</t>
        </is>
      </c>
    </row>
    <row r="56">
      <c r="B56" s="8" t="inlineStr">
        <is>
          <t>Land Sale $/SF (Y10)</t>
        </is>
      </c>
      <c r="C56" s="12" t="n">
        <v>300</v>
      </c>
    </row>
    <row r="57">
      <c r="B57" s="8" t="inlineStr">
        <is>
          <t>Land Total SF</t>
        </is>
      </c>
      <c r="C57" s="11" t="n">
        <v>197762</v>
      </c>
    </row>
    <row r="58">
      <c r="B58" s="8" t="inlineStr">
        <is>
          <t>REIT Exit Cap (Y5)</t>
        </is>
      </c>
      <c r="C58" s="10" t="n">
        <v>0.055</v>
      </c>
    </row>
    <row r="59">
      <c r="B59" s="8" t="inlineStr">
        <is>
          <t>Sale Costs %</t>
        </is>
      </c>
      <c r="C59" s="10" t="n">
        <v>0.02</v>
      </c>
    </row>
  </sheetData>
  <mergeCells count="8">
    <mergeCell ref="B11:D11"/>
    <mergeCell ref="B19:D19"/>
    <mergeCell ref="B5:D5"/>
    <mergeCell ref="B26:D26"/>
    <mergeCell ref="B2:D2"/>
    <mergeCell ref="B55:D55"/>
    <mergeCell ref="B48:D48"/>
    <mergeCell ref="B34:D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26"/>
  <sheetViews>
    <sheetView workbookViewId="0">
      <selection activeCell="A1" sqref="A1"/>
    </sheetView>
  </sheetViews>
  <sheetFormatPr baseColWidth="10" defaultColWidth="8.83203125" defaultRowHeight="15"/>
  <cols>
    <col width="3.6640625" customWidth="1" style="40" min="1" max="1"/>
    <col width="8.6640625" customWidth="1" style="40" min="2" max="2"/>
    <col width="26.6640625" customWidth="1" style="40" min="3" max="3"/>
    <col width="11.6640625" customWidth="1" style="40" min="4" max="4"/>
    <col width="8.6640625" customWidth="1" style="40" min="5" max="5"/>
    <col width="10.6640625" customWidth="1" style="40" min="6" max="6"/>
    <col width="12.6640625" customWidth="1" style="40" min="7" max="7"/>
    <col width="11.6640625" customWidth="1" style="40" min="8" max="8"/>
  </cols>
  <sheetData>
    <row r="2" ht="16" customHeight="1" s="40">
      <c r="B2" s="41" t="inlineStr">
        <is>
          <t>RENT ROLL — 20 SUITES (Source: SF/Voss LTD 4/30/2026)</t>
        </is>
      </c>
    </row>
    <row r="5">
      <c r="B5" s="8" t="inlineStr">
        <is>
          <t>Suite</t>
        </is>
      </c>
      <c r="C5" s="8" t="inlineStr">
        <is>
          <t>Tenant</t>
        </is>
      </c>
      <c r="D5" s="8" t="inlineStr">
        <is>
          <t>Type</t>
        </is>
      </c>
      <c r="E5" s="8" t="inlineStr">
        <is>
          <t>SF</t>
        </is>
      </c>
      <c r="F5" s="8" t="inlineStr">
        <is>
          <t>Cur PSF</t>
        </is>
      </c>
      <c r="G5" s="8" t="inlineStr">
        <is>
          <t>Exp Year (calendar)</t>
        </is>
      </c>
      <c r="H5" s="8" t="inlineStr">
        <is>
          <t>Status</t>
        </is>
      </c>
    </row>
    <row r="6">
      <c r="B6" t="inlineStr">
        <is>
          <t>200</t>
        </is>
      </c>
      <c r="C6" t="inlineStr">
        <is>
          <t>Salon Lofts</t>
        </is>
      </c>
      <c r="D6" t="inlineStr">
        <is>
          <t>service</t>
        </is>
      </c>
      <c r="E6" s="16" t="n">
        <v>6094</v>
      </c>
      <c r="F6" s="17" t="n">
        <v>23</v>
      </c>
      <c r="G6" t="n">
        <v>2032</v>
      </c>
      <c r="H6" t="inlineStr">
        <is>
          <t>in-place</t>
        </is>
      </c>
    </row>
    <row r="7">
      <c r="B7" t="inlineStr">
        <is>
          <t>1417</t>
        </is>
      </c>
      <c r="C7" t="inlineStr">
        <is>
          <t>Wild Fork Foods</t>
        </is>
      </c>
      <c r="D7" t="inlineStr">
        <is>
          <t>F&amp;B</t>
        </is>
      </c>
      <c r="E7" s="16" t="n">
        <v>4084</v>
      </c>
      <c r="F7" s="17" t="n">
        <v>61.21</v>
      </c>
      <c r="G7" t="n">
        <v>2033</v>
      </c>
      <c r="H7" t="inlineStr">
        <is>
          <t>in-place</t>
        </is>
      </c>
    </row>
    <row r="8">
      <c r="B8" t="inlineStr">
        <is>
          <t>150</t>
        </is>
      </c>
      <c r="C8" t="inlineStr">
        <is>
          <t>Heights Wellness</t>
        </is>
      </c>
      <c r="D8" t="inlineStr">
        <is>
          <t>wellness</t>
        </is>
      </c>
      <c r="E8" s="16" t="n">
        <v>3707</v>
      </c>
      <c r="F8" s="17" t="n">
        <v>31</v>
      </c>
      <c r="G8" t="n">
        <v>2033</v>
      </c>
      <c r="H8" t="inlineStr">
        <is>
          <t>in-place</t>
        </is>
      </c>
    </row>
    <row r="9">
      <c r="B9" t="inlineStr">
        <is>
          <t>1415</t>
        </is>
      </c>
      <c r="C9" t="inlineStr">
        <is>
          <t>Vacant - Inline</t>
        </is>
      </c>
      <c r="D9" t="inlineStr">
        <is>
          <t>vacant</t>
        </is>
      </c>
      <c r="E9" s="16" t="n">
        <v>3199</v>
      </c>
      <c r="F9" s="17" t="n">
        <v>0</v>
      </c>
      <c r="G9" t="n">
        <v>2026</v>
      </c>
      <c r="H9" t="inlineStr">
        <is>
          <t>vacant</t>
        </is>
      </c>
    </row>
    <row r="10">
      <c r="B10" t="inlineStr">
        <is>
          <t>1413A</t>
        </is>
      </c>
      <c r="C10" t="inlineStr">
        <is>
          <t>Brassica Sandwiches</t>
        </is>
      </c>
      <c r="D10" t="inlineStr">
        <is>
          <t>F&amp;B</t>
        </is>
      </c>
      <c r="E10" s="16" t="n">
        <v>3000</v>
      </c>
      <c r="F10" s="17" t="n">
        <v>65</v>
      </c>
      <c r="G10" t="n">
        <v>2036</v>
      </c>
      <c r="H10" t="inlineStr">
        <is>
          <t>in-place</t>
        </is>
      </c>
    </row>
    <row r="11">
      <c r="B11" t="inlineStr">
        <is>
          <t>170</t>
        </is>
      </c>
      <c r="C11" t="inlineStr">
        <is>
          <t>Isle Pedi Spa</t>
        </is>
      </c>
      <c r="D11" t="inlineStr">
        <is>
          <t>service</t>
        </is>
      </c>
      <c r="E11" s="16" t="n">
        <v>2695</v>
      </c>
      <c r="F11" s="17" t="n">
        <v>34.03</v>
      </c>
      <c r="G11" t="n">
        <v>2033</v>
      </c>
      <c r="H11" t="inlineStr">
        <is>
          <t>in-place</t>
        </is>
      </c>
    </row>
    <row r="12">
      <c r="B12" t="inlineStr">
        <is>
          <t>135</t>
        </is>
      </c>
      <c r="C12" t="inlineStr">
        <is>
          <t>Piola</t>
        </is>
      </c>
      <c r="D12" t="inlineStr">
        <is>
          <t>F&amp;B</t>
        </is>
      </c>
      <c r="E12" s="16" t="n">
        <v>2670</v>
      </c>
      <c r="F12" s="17" t="n">
        <v>33</v>
      </c>
      <c r="G12" t="n">
        <v>2027</v>
      </c>
      <c r="H12" t="inlineStr">
        <is>
          <t>in-place</t>
        </is>
      </c>
    </row>
    <row r="13">
      <c r="B13" t="inlineStr">
        <is>
          <t>100</t>
        </is>
      </c>
      <c r="C13" t="inlineStr">
        <is>
          <t>Distinct Dental</t>
        </is>
      </c>
      <c r="D13" t="inlineStr">
        <is>
          <t>service</t>
        </is>
      </c>
      <c r="E13" s="16" t="n">
        <v>2500</v>
      </c>
      <c r="F13" s="17" t="n">
        <v>32.5</v>
      </c>
      <c r="G13" t="n">
        <v>2033</v>
      </c>
      <c r="H13" t="inlineStr">
        <is>
          <t>in-place</t>
        </is>
      </c>
    </row>
    <row r="14">
      <c r="B14" t="inlineStr">
        <is>
          <t>280</t>
        </is>
      </c>
      <c r="C14" t="inlineStr">
        <is>
          <t>School of Rock</t>
        </is>
      </c>
      <c r="D14" t="inlineStr">
        <is>
          <t>specialty</t>
        </is>
      </c>
      <c r="E14" s="16" t="n">
        <v>2462</v>
      </c>
      <c r="F14" s="17" t="n">
        <v>29.7</v>
      </c>
      <c r="G14" t="n">
        <v>2029</v>
      </c>
      <c r="H14" t="inlineStr">
        <is>
          <t>in-place</t>
        </is>
      </c>
    </row>
    <row r="15">
      <c r="B15" t="inlineStr">
        <is>
          <t>260</t>
        </is>
      </c>
      <c r="C15" t="inlineStr">
        <is>
          <t>Vacant - Retail</t>
        </is>
      </c>
      <c r="D15" t="inlineStr">
        <is>
          <t>vacant</t>
        </is>
      </c>
      <c r="E15" s="16" t="n">
        <v>2307</v>
      </c>
      <c r="F15" s="17" t="n">
        <v>0</v>
      </c>
      <c r="G15" t="n">
        <v>2026</v>
      </c>
      <c r="H15" t="inlineStr">
        <is>
          <t>vacant</t>
        </is>
      </c>
    </row>
    <row r="16">
      <c r="B16" t="inlineStr">
        <is>
          <t>225</t>
        </is>
      </c>
      <c r="C16" t="inlineStr">
        <is>
          <t>Amazing Lash Studio</t>
        </is>
      </c>
      <c r="D16" t="inlineStr">
        <is>
          <t>service</t>
        </is>
      </c>
      <c r="E16" s="16" t="n">
        <v>2250</v>
      </c>
      <c r="F16" s="17" t="n">
        <v>29.1</v>
      </c>
      <c r="G16" t="n">
        <v>2026</v>
      </c>
      <c r="H16" t="inlineStr">
        <is>
          <t>in-place</t>
        </is>
      </c>
    </row>
    <row r="17">
      <c r="B17" t="inlineStr">
        <is>
          <t>230</t>
        </is>
      </c>
      <c r="C17" t="inlineStr">
        <is>
          <t>Amerejuve Medspa</t>
        </is>
      </c>
      <c r="D17" t="inlineStr">
        <is>
          <t>wellness</t>
        </is>
      </c>
      <c r="E17" s="16" t="n">
        <v>1839</v>
      </c>
      <c r="F17" s="17" t="n">
        <v>21</v>
      </c>
      <c r="G17" t="n">
        <v>2029</v>
      </c>
      <c r="H17" t="inlineStr">
        <is>
          <t>in-place</t>
        </is>
      </c>
    </row>
    <row r="18">
      <c r="B18" t="inlineStr">
        <is>
          <t>115</t>
        </is>
      </c>
      <c r="C18" t="inlineStr">
        <is>
          <t>Clara Rose Boutique</t>
        </is>
      </c>
      <c r="D18" t="inlineStr">
        <is>
          <t>specialty</t>
        </is>
      </c>
      <c r="E18" s="16" t="n">
        <v>1690</v>
      </c>
      <c r="F18" s="17" t="n">
        <v>40</v>
      </c>
      <c r="G18" t="n">
        <v>2030</v>
      </c>
      <c r="H18" t="inlineStr">
        <is>
          <t>in-place</t>
        </is>
      </c>
    </row>
    <row r="19">
      <c r="B19" t="inlineStr">
        <is>
          <t>130</t>
        </is>
      </c>
      <c r="C19" t="inlineStr">
        <is>
          <t>Ozone Bar</t>
        </is>
      </c>
      <c r="D19" t="inlineStr">
        <is>
          <t>F&amp;B</t>
        </is>
      </c>
      <c r="E19" s="16" t="n">
        <v>1690</v>
      </c>
      <c r="F19" s="17" t="n">
        <v>41.82</v>
      </c>
      <c r="G19" t="n">
        <v>2029</v>
      </c>
      <c r="H19" t="inlineStr">
        <is>
          <t>in-place</t>
        </is>
      </c>
    </row>
    <row r="20">
      <c r="B20" t="inlineStr">
        <is>
          <t>120</t>
        </is>
      </c>
      <c r="C20" t="inlineStr">
        <is>
          <t>Alloy Personal Trng</t>
        </is>
      </c>
      <c r="D20" t="inlineStr">
        <is>
          <t>fitness</t>
        </is>
      </c>
      <c r="E20" s="16" t="n">
        <v>1575</v>
      </c>
      <c r="F20" s="17" t="n">
        <v>45</v>
      </c>
      <c r="G20" t="n">
        <v>2034</v>
      </c>
      <c r="H20" t="inlineStr">
        <is>
          <t>in-place</t>
        </is>
      </c>
    </row>
    <row r="21">
      <c r="B21" t="inlineStr">
        <is>
          <t>160</t>
        </is>
      </c>
      <c r="C21" t="inlineStr">
        <is>
          <t>European Wax Center</t>
        </is>
      </c>
      <c r="D21" t="inlineStr">
        <is>
          <t>service</t>
        </is>
      </c>
      <c r="E21" s="16" t="n">
        <v>1421</v>
      </c>
      <c r="F21" s="17" t="n">
        <v>40</v>
      </c>
      <c r="G21" t="n">
        <v>2031</v>
      </c>
      <c r="H21" t="inlineStr">
        <is>
          <t>in-place</t>
        </is>
      </c>
    </row>
    <row r="22">
      <c r="B22" t="inlineStr">
        <is>
          <t>220</t>
        </is>
      </c>
      <c r="C22" t="inlineStr">
        <is>
          <t>Bonck Group</t>
        </is>
      </c>
      <c r="D22" t="inlineStr">
        <is>
          <t>office</t>
        </is>
      </c>
      <c r="E22" s="16" t="n">
        <v>1275</v>
      </c>
      <c r="F22" s="17" t="n">
        <v>27</v>
      </c>
      <c r="G22" t="n">
        <v>2029</v>
      </c>
      <c r="H22" t="inlineStr">
        <is>
          <t>in-place</t>
        </is>
      </c>
    </row>
    <row r="23">
      <c r="B23" t="inlineStr">
        <is>
          <t>1413C</t>
        </is>
      </c>
      <c r="C23" t="inlineStr">
        <is>
          <t>Clean Juice</t>
        </is>
      </c>
      <c r="D23" t="inlineStr">
        <is>
          <t>F&amp;B</t>
        </is>
      </c>
      <c r="E23" s="16" t="n">
        <v>1253</v>
      </c>
      <c r="F23" s="17" t="n">
        <v>45</v>
      </c>
      <c r="G23" t="n">
        <v>2027</v>
      </c>
      <c r="H23" t="inlineStr">
        <is>
          <t>in-place</t>
        </is>
      </c>
    </row>
    <row r="24">
      <c r="B24" t="inlineStr">
        <is>
          <t>1413D</t>
        </is>
      </c>
      <c r="C24" t="inlineStr">
        <is>
          <t>Jersey Mike's Subs</t>
        </is>
      </c>
      <c r="D24" t="inlineStr">
        <is>
          <t>F&amp;B</t>
        </is>
      </c>
      <c r="E24" s="16" t="n">
        <v>1250</v>
      </c>
      <c r="F24" s="17" t="n">
        <v>40.1</v>
      </c>
      <c r="G24" t="n">
        <v>2031</v>
      </c>
      <c r="H24" t="inlineStr">
        <is>
          <t>in-place</t>
        </is>
      </c>
    </row>
    <row r="25">
      <c r="B25" t="inlineStr">
        <is>
          <t>110</t>
        </is>
      </c>
      <c r="C25" t="inlineStr">
        <is>
          <t>UPS Store</t>
        </is>
      </c>
      <c r="D25" t="inlineStr">
        <is>
          <t>service</t>
        </is>
      </c>
      <c r="E25" s="16" t="n">
        <v>1235</v>
      </c>
      <c r="F25" s="17" t="n">
        <v>38</v>
      </c>
      <c r="G25" t="n">
        <v>2031</v>
      </c>
      <c r="H25" t="inlineStr">
        <is>
          <t>in-place</t>
        </is>
      </c>
    </row>
    <row r="26">
      <c r="B26" s="8" t="inlineStr">
        <is>
          <t>TOTAL</t>
        </is>
      </c>
      <c r="E26" s="16">
        <f>SUM(E6:E25)</f>
        <v/>
      </c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Q26"/>
  <sheetViews>
    <sheetView workbookViewId="0">
      <selection activeCell="H8" sqref="H8"/>
    </sheetView>
  </sheetViews>
  <sheetFormatPr baseColWidth="10" defaultColWidth="8.83203125" defaultRowHeight="15"/>
  <cols>
    <col width="3.6640625" customWidth="1" style="40" min="1" max="1"/>
    <col width="8.6640625" customWidth="1" style="40" min="2" max="2"/>
    <col width="22.6640625" customWidth="1" style="40" min="3" max="3"/>
    <col width="8.6640625" customWidth="1" style="40" min="4" max="4"/>
    <col width="10.6640625" customWidth="1" style="40" min="5" max="5"/>
    <col width="8.6640625" customWidth="1" style="40" min="6" max="6"/>
    <col width="13.6640625" customWidth="1" style="40" min="7" max="16"/>
    <col width="10.1640625" bestFit="1" customWidth="1" style="40" min="17" max="17"/>
  </cols>
  <sheetData>
    <row r="2" ht="16" customHeight="1" s="40">
      <c r="B2" s="41" t="inlineStr">
        <is>
          <t>RENT BY SUITE — YEAR BY YEAR (ALL FORMULAS)</t>
        </is>
      </c>
    </row>
    <row r="3">
      <c r="B3" s="1" t="inlineStr">
        <is>
          <t>Each cell = formula. Reflects renewal-rate blending in rollover year.</t>
        </is>
      </c>
    </row>
    <row r="5">
      <c r="B5" s="8" t="inlineStr">
        <is>
          <t>Suite</t>
        </is>
      </c>
      <c r="C5" s="8" t="inlineStr">
        <is>
          <t>Tenant</t>
        </is>
      </c>
      <c r="D5" s="8" t="inlineStr">
        <is>
          <t>SF</t>
        </is>
      </c>
      <c r="E5" s="8" t="inlineStr">
        <is>
          <t>Cur PSF</t>
        </is>
      </c>
      <c r="F5" s="8" t="inlineStr">
        <is>
          <t>Exp Yr</t>
        </is>
      </c>
      <c r="G5" s="8" t="inlineStr">
        <is>
          <t>Status</t>
        </is>
      </c>
      <c r="H5" s="8" t="inlineStr">
        <is>
          <t>Y1 (2026)</t>
        </is>
      </c>
      <c r="I5" s="8" t="inlineStr">
        <is>
          <t>Y2 (2027)</t>
        </is>
      </c>
      <c r="J5" s="8" t="inlineStr">
        <is>
          <t>Y3 (2028)</t>
        </is>
      </c>
      <c r="K5" s="8" t="inlineStr">
        <is>
          <t>Y4 (2029)</t>
        </is>
      </c>
      <c r="L5" s="8" t="inlineStr">
        <is>
          <t>Y5 (2030)</t>
        </is>
      </c>
      <c r="M5" s="8" t="inlineStr">
        <is>
          <t>Y6 (2031)</t>
        </is>
      </c>
      <c r="N5" s="8" t="inlineStr">
        <is>
          <t>Y7 (2032)</t>
        </is>
      </c>
      <c r="O5" s="8" t="inlineStr">
        <is>
          <t>Y8 (2033)</t>
        </is>
      </c>
      <c r="P5" s="8" t="inlineStr">
        <is>
          <t>Y9 (2034)</t>
        </is>
      </c>
      <c r="Q5" s="8" t="inlineStr">
        <is>
          <t>Y10 (2035)</t>
        </is>
      </c>
    </row>
    <row r="6">
      <c r="B6" t="inlineStr">
        <is>
          <t>200</t>
        </is>
      </c>
      <c r="C6" t="inlineStr">
        <is>
          <t>Salon Lofts</t>
        </is>
      </c>
      <c r="D6" s="16">
        <f>'Rent Roll'!$E$6</f>
        <v/>
      </c>
      <c r="E6" s="17">
        <f>'Rent Roll'!$F$6</f>
        <v/>
      </c>
      <c r="F6">
        <f>'Rent Roll'!$G$6</f>
        <v/>
      </c>
      <c r="G6">
        <f>'Rent Roll'!$H$6</f>
        <v/>
      </c>
      <c r="H6" s="18">
        <f>IF($G$6="vacant",IF(1&lt;Inputs!$C$9,0,IF(1=Inputs!$C$9,$D$6*Inputs!$C$6,$D$6*Inputs!$C$6*(1+Inputs!$C$8)^(1-Inputs!$C$9))),IF(1&lt;($F$6-2025),$D$6*$E$6*(1+Inputs!$C$8)^(1-1),IF(1=($F$6-2025),$D$6*MAX(($E$6*(1+Inputs!$C$8)^(1-1)),(Inputs!$C$6*(1+Inputs!$C$8)^(1-1)))*Inputs!$C$31,$D$6*MAX(($E$6*(1+Inputs!$C$8)^(($F$6-2025)-1)),(Inputs!$C$6*(1+Inputs!$C$8)^(($F$6-2025)-1)))*(1+Inputs!$C$8)^(1-($F$6-2025)))))</f>
        <v/>
      </c>
      <c r="I6" s="18">
        <f>IF($G$6="vacant",IF(2&lt;Inputs!$C$9,0,IF(2=Inputs!$C$9,$D$6*Inputs!$C$6,$D$6*Inputs!$C$6*(1+Inputs!$C$8)^(2-Inputs!$C$9))),IF(2&lt;($F$6-2025),$D$6*$E$6*(1+Inputs!$C$8)^(2-1),IF(2=($F$6-2025),$D$6*MAX(($E$6*(1+Inputs!$C$8)^(2-1)),(Inputs!$C$6*(1+Inputs!$C$8)^(2-1)))*Inputs!$C$31,$D$6*MAX(($E$6*(1+Inputs!$C$8)^(($F$6-2025)-1)),(Inputs!$C$6*(1+Inputs!$C$8)^(($F$6-2025)-1)))*(1+Inputs!$C$8)^(2-($F$6-2025)))))</f>
        <v/>
      </c>
      <c r="J6" s="18">
        <f>IF($G$6="vacant",IF(3&lt;Inputs!$C$9,0,IF(3=Inputs!$C$9,$D$6*Inputs!$C$6,$D$6*Inputs!$C$6*(1+Inputs!$C$8)^(3-Inputs!$C$9))),IF(3&lt;($F$6-2025),$D$6*$E$6*(1+Inputs!$C$8)^(3-1),IF(3=($F$6-2025),$D$6*MAX(($E$6*(1+Inputs!$C$8)^(3-1)),(Inputs!$C$6*(1+Inputs!$C$8)^(3-1)))*Inputs!$C$31,$D$6*MAX(($E$6*(1+Inputs!$C$8)^(($F$6-2025)-1)),(Inputs!$C$6*(1+Inputs!$C$8)^(($F$6-2025)-1)))*(1+Inputs!$C$8)^(3-($F$6-2025)))))</f>
        <v/>
      </c>
      <c r="K6" s="18">
        <f>IF($G$6="vacant",IF(4&lt;Inputs!$C$9,0,IF(4=Inputs!$C$9,$D$6*Inputs!$C$6,$D$6*Inputs!$C$6*(1+Inputs!$C$8)^(4-Inputs!$C$9))),IF(4&lt;($F$6-2025),$D$6*$E$6*(1+Inputs!$C$8)^(4-1),IF(4=($F$6-2025),$D$6*MAX(($E$6*(1+Inputs!$C$8)^(4-1)),(Inputs!$C$6*(1+Inputs!$C$8)^(4-1)))*Inputs!$C$31,$D$6*MAX(($E$6*(1+Inputs!$C$8)^(($F$6-2025)-1)),(Inputs!$C$6*(1+Inputs!$C$8)^(($F$6-2025)-1)))*(1+Inputs!$C$8)^(4-($F$6-2025)))))</f>
        <v/>
      </c>
      <c r="L6" s="18">
        <f>IF($G$6="vacant",IF(5&lt;Inputs!$C$9,0,IF(5=Inputs!$C$9,$D$6*Inputs!$C$6,$D$6*Inputs!$C$6*(1+Inputs!$C$8)^(5-Inputs!$C$9))),IF(5&lt;($F$6-2025),$D$6*$E$6*(1+Inputs!$C$8)^(5-1),IF(5=($F$6-2025),$D$6*MAX(($E$6*(1+Inputs!$C$8)^(5-1)),(Inputs!$C$6*(1+Inputs!$C$8)^(5-1)))*Inputs!$C$31,$D$6*MAX(($E$6*(1+Inputs!$C$8)^(($F$6-2025)-1)),(Inputs!$C$6*(1+Inputs!$C$8)^(($F$6-2025)-1)))*(1+Inputs!$C$8)^(5-($F$6-2025)))))</f>
        <v/>
      </c>
      <c r="M6" s="18">
        <f>IF($G$6="vacant",IF(6&lt;Inputs!$C$9,0,IF(6=Inputs!$C$9,$D$6*Inputs!$C$6,$D$6*Inputs!$C$6*(1+Inputs!$C$8)^(6-Inputs!$C$9))),IF(6&lt;($F$6-2025),$D$6*$E$6*(1+Inputs!$C$8)^(6-1),IF(6=($F$6-2025),$D$6*MAX(($E$6*(1+Inputs!$C$8)^(6-1)),(Inputs!$C$6*(1+Inputs!$C$8)^(6-1)))*Inputs!$C$31,$D$6*MAX(($E$6*(1+Inputs!$C$8)^(($F$6-2025)-1)),(Inputs!$C$6*(1+Inputs!$C$8)^(($F$6-2025)-1)))*(1+Inputs!$C$8)^(6-($F$6-2025)))))</f>
        <v/>
      </c>
      <c r="N6" s="18">
        <f>IF($G$6="vacant",IF(7&lt;Inputs!$C$9,0,IF(7=Inputs!$C$9,$D$6*Inputs!$C$6,$D$6*Inputs!$C$6*(1+Inputs!$C$8)^(7-Inputs!$C$9))),IF(7&lt;($F$6-2025),$D$6*$E$6*(1+Inputs!$C$8)^(7-1),IF(7=($F$6-2025),$D$6*MAX(($E$6*(1+Inputs!$C$8)^(7-1)),(Inputs!$C$6*(1+Inputs!$C$8)^(7-1)))*Inputs!$C$31,$D$6*MAX(($E$6*(1+Inputs!$C$8)^(($F$6-2025)-1)),(Inputs!$C$6*(1+Inputs!$C$8)^(($F$6-2025)-1)))*(1+Inputs!$C$8)^(7-($F$6-2025)))))</f>
        <v/>
      </c>
      <c r="O6" s="18">
        <f>IF($G$6="vacant",IF(8&lt;Inputs!$C$9,0,IF(8=Inputs!$C$9,$D$6*Inputs!$C$6,$D$6*Inputs!$C$6*(1+Inputs!$C$8)^(8-Inputs!$C$9))),IF(8&lt;($F$6-2025),$D$6*$E$6*(1+Inputs!$C$8)^(8-1),IF(8=($F$6-2025),$D$6*MAX(($E$6*(1+Inputs!$C$8)^(8-1)),(Inputs!$C$6*(1+Inputs!$C$8)^(8-1)))*Inputs!$C$31,$D$6*MAX(($E$6*(1+Inputs!$C$8)^(($F$6-2025)-1)),(Inputs!$C$6*(1+Inputs!$C$8)^(($F$6-2025)-1)))*(1+Inputs!$C$8)^(8-($F$6-2025)))))</f>
        <v/>
      </c>
      <c r="P6" s="18">
        <f>IF($G$6="vacant",IF(9&lt;Inputs!$C$9,0,IF(9=Inputs!$C$9,$D$6*Inputs!$C$6,$D$6*Inputs!$C$6*(1+Inputs!$C$8)^(9-Inputs!$C$9))),IF(9&lt;($F$6-2025),$D$6*$E$6*(1+Inputs!$C$8)^(9-1),IF(9=($F$6-2025),$D$6*MAX(($E$6*(1+Inputs!$C$8)^(9-1)),(Inputs!$C$6*(1+Inputs!$C$8)^(9-1)))*Inputs!$C$31,$D$6*MAX(($E$6*(1+Inputs!$C$8)^(($F$6-2025)-1)),(Inputs!$C$6*(1+Inputs!$C$8)^(($F$6-2025)-1)))*(1+Inputs!$C$8)^(9-($F$6-2025)))))</f>
        <v/>
      </c>
      <c r="Q6" s="18">
        <f>IF($G$6="vacant",IF(10&lt;Inputs!$C$9,0,IF(10=Inputs!$C$9,$D$6*Inputs!$C$6,$D$6*Inputs!$C$6*(1+Inputs!$C$8)^(10-Inputs!$C$9))),IF(10&lt;($F$6-2025),$D$6*$E$6*(1+Inputs!$C$8)^(10-1),IF(10=($F$6-2025),$D$6*MAX(($E$6*(1+Inputs!$C$8)^(10-1)),(Inputs!$C$6*(1+Inputs!$C$8)^(10-1)))*Inputs!$C$31,$D$6*MAX(($E$6*(1+Inputs!$C$8)^(($F$6-2025)-1)),(Inputs!$C$6*(1+Inputs!$C$8)^(($F$6-2025)-1)))*(1+Inputs!$C$8)^(10-($F$6-2025)))))</f>
        <v/>
      </c>
    </row>
    <row r="7">
      <c r="B7" t="inlineStr">
        <is>
          <t>1417</t>
        </is>
      </c>
      <c r="C7" t="inlineStr">
        <is>
          <t>Wild Fork Foods</t>
        </is>
      </c>
      <c r="D7" s="16">
        <f>'Rent Roll'!$E$7</f>
        <v/>
      </c>
      <c r="E7" s="17">
        <f>'Rent Roll'!$F$7</f>
        <v/>
      </c>
      <c r="F7">
        <f>'Rent Roll'!$G$7</f>
        <v/>
      </c>
      <c r="G7">
        <f>'Rent Roll'!$H$7</f>
        <v/>
      </c>
      <c r="H7" s="18">
        <f>IF($G$7="vacant",IF(1&lt;Inputs!$C$9,0,IF(1=Inputs!$C$9,$D$7*Inputs!$C$6,$D$7*Inputs!$C$6*(1+Inputs!$C$8)^(1-Inputs!$C$9))),IF(1&lt;($F$7-2025),$D$7*$E$7*(1+Inputs!$C$8)^(1-1),IF(1=($F$7-2025),$D$7*MAX(($E$7*(1+Inputs!$C$8)^(1-1)),(Inputs!$C$6*(1+Inputs!$C$8)^(1-1)))*Inputs!$C$31,$D$7*MAX(($E$7*(1+Inputs!$C$8)^(($F$7-2025)-1)),(Inputs!$C$6*(1+Inputs!$C$8)^(($F$7-2025)-1)))*(1+Inputs!$C$8)^(1-($F$7-2025)))))</f>
        <v/>
      </c>
      <c r="I7" s="18">
        <f>IF($G$7="vacant",IF(2&lt;Inputs!$C$9,0,IF(2=Inputs!$C$9,$D$7*Inputs!$C$6,$D$7*Inputs!$C$6*(1+Inputs!$C$8)^(2-Inputs!$C$9))),IF(2&lt;($F$7-2025),$D$7*$E$7*(1+Inputs!$C$8)^(2-1),IF(2=($F$7-2025),$D$7*MAX(($E$7*(1+Inputs!$C$8)^(2-1)),(Inputs!$C$6*(1+Inputs!$C$8)^(2-1)))*Inputs!$C$31,$D$7*MAX(($E$7*(1+Inputs!$C$8)^(($F$7-2025)-1)),(Inputs!$C$6*(1+Inputs!$C$8)^(($F$7-2025)-1)))*(1+Inputs!$C$8)^(2-($F$7-2025)))))</f>
        <v/>
      </c>
      <c r="J7" s="18">
        <f>IF($G$7="vacant",IF(3&lt;Inputs!$C$9,0,IF(3=Inputs!$C$9,$D$7*Inputs!$C$6,$D$7*Inputs!$C$6*(1+Inputs!$C$8)^(3-Inputs!$C$9))),IF(3&lt;($F$7-2025),$D$7*$E$7*(1+Inputs!$C$8)^(3-1),IF(3=($F$7-2025),$D$7*MAX(($E$7*(1+Inputs!$C$8)^(3-1)),(Inputs!$C$6*(1+Inputs!$C$8)^(3-1)))*Inputs!$C$31,$D$7*MAX(($E$7*(1+Inputs!$C$8)^(($F$7-2025)-1)),(Inputs!$C$6*(1+Inputs!$C$8)^(($F$7-2025)-1)))*(1+Inputs!$C$8)^(3-($F$7-2025)))))</f>
        <v/>
      </c>
      <c r="K7" s="18">
        <f>IF($G$7="vacant",IF(4&lt;Inputs!$C$9,0,IF(4=Inputs!$C$9,$D$7*Inputs!$C$6,$D$7*Inputs!$C$6*(1+Inputs!$C$8)^(4-Inputs!$C$9))),IF(4&lt;($F$7-2025),$D$7*$E$7*(1+Inputs!$C$8)^(4-1),IF(4=($F$7-2025),$D$7*MAX(($E$7*(1+Inputs!$C$8)^(4-1)),(Inputs!$C$6*(1+Inputs!$C$8)^(4-1)))*Inputs!$C$31,$D$7*MAX(($E$7*(1+Inputs!$C$8)^(($F$7-2025)-1)),(Inputs!$C$6*(1+Inputs!$C$8)^(($F$7-2025)-1)))*(1+Inputs!$C$8)^(4-($F$7-2025)))))</f>
        <v/>
      </c>
      <c r="L7" s="18">
        <f>IF($G$7="vacant",IF(5&lt;Inputs!$C$9,0,IF(5=Inputs!$C$9,$D$7*Inputs!$C$6,$D$7*Inputs!$C$6*(1+Inputs!$C$8)^(5-Inputs!$C$9))),IF(5&lt;($F$7-2025),$D$7*$E$7*(1+Inputs!$C$8)^(5-1),IF(5=($F$7-2025),$D$7*MAX(($E$7*(1+Inputs!$C$8)^(5-1)),(Inputs!$C$6*(1+Inputs!$C$8)^(5-1)))*Inputs!$C$31,$D$7*MAX(($E$7*(1+Inputs!$C$8)^(($F$7-2025)-1)),(Inputs!$C$6*(1+Inputs!$C$8)^(($F$7-2025)-1)))*(1+Inputs!$C$8)^(5-($F$7-2025)))))</f>
        <v/>
      </c>
      <c r="M7" s="18">
        <f>IF($G$7="vacant",IF(6&lt;Inputs!$C$9,0,IF(6=Inputs!$C$9,$D$7*Inputs!$C$6,$D$7*Inputs!$C$6*(1+Inputs!$C$8)^(6-Inputs!$C$9))),IF(6&lt;($F$7-2025),$D$7*$E$7*(1+Inputs!$C$8)^(6-1),IF(6=($F$7-2025),$D$7*MAX(($E$7*(1+Inputs!$C$8)^(6-1)),(Inputs!$C$6*(1+Inputs!$C$8)^(6-1)))*Inputs!$C$31,$D$7*MAX(($E$7*(1+Inputs!$C$8)^(($F$7-2025)-1)),(Inputs!$C$6*(1+Inputs!$C$8)^(($F$7-2025)-1)))*(1+Inputs!$C$8)^(6-($F$7-2025)))))</f>
        <v/>
      </c>
      <c r="N7" s="18">
        <f>IF($G$7="vacant",IF(7&lt;Inputs!$C$9,0,IF(7=Inputs!$C$9,$D$7*Inputs!$C$6,$D$7*Inputs!$C$6*(1+Inputs!$C$8)^(7-Inputs!$C$9))),IF(7&lt;($F$7-2025),$D$7*$E$7*(1+Inputs!$C$8)^(7-1),IF(7=($F$7-2025),$D$7*MAX(($E$7*(1+Inputs!$C$8)^(7-1)),(Inputs!$C$6*(1+Inputs!$C$8)^(7-1)))*Inputs!$C$31,$D$7*MAX(($E$7*(1+Inputs!$C$8)^(($F$7-2025)-1)),(Inputs!$C$6*(1+Inputs!$C$8)^(($F$7-2025)-1)))*(1+Inputs!$C$8)^(7-($F$7-2025)))))</f>
        <v/>
      </c>
      <c r="O7" s="18">
        <f>IF($G$7="vacant",IF(8&lt;Inputs!$C$9,0,IF(8=Inputs!$C$9,$D$7*Inputs!$C$6,$D$7*Inputs!$C$6*(1+Inputs!$C$8)^(8-Inputs!$C$9))),IF(8&lt;($F$7-2025),$D$7*$E$7*(1+Inputs!$C$8)^(8-1),IF(8=($F$7-2025),$D$7*MAX(($E$7*(1+Inputs!$C$8)^(8-1)),(Inputs!$C$6*(1+Inputs!$C$8)^(8-1)))*Inputs!$C$31,$D$7*MAX(($E$7*(1+Inputs!$C$8)^(($F$7-2025)-1)),(Inputs!$C$6*(1+Inputs!$C$8)^(($F$7-2025)-1)))*(1+Inputs!$C$8)^(8-($F$7-2025)))))</f>
        <v/>
      </c>
      <c r="P7" s="18">
        <f>IF($G$7="vacant",IF(9&lt;Inputs!$C$9,0,IF(9=Inputs!$C$9,$D$7*Inputs!$C$6,$D$7*Inputs!$C$6*(1+Inputs!$C$8)^(9-Inputs!$C$9))),IF(9&lt;($F$7-2025),$D$7*$E$7*(1+Inputs!$C$8)^(9-1),IF(9=($F$7-2025),$D$7*MAX(($E$7*(1+Inputs!$C$8)^(9-1)),(Inputs!$C$6*(1+Inputs!$C$8)^(9-1)))*Inputs!$C$31,$D$7*MAX(($E$7*(1+Inputs!$C$8)^(($F$7-2025)-1)),(Inputs!$C$6*(1+Inputs!$C$8)^(($F$7-2025)-1)))*(1+Inputs!$C$8)^(9-($F$7-2025)))))</f>
        <v/>
      </c>
      <c r="Q7" s="18">
        <f>IF($G$7="vacant",IF(10&lt;Inputs!$C$9,0,IF(10=Inputs!$C$9,$D$7*Inputs!$C$6,$D$7*Inputs!$C$6*(1+Inputs!$C$8)^(10-Inputs!$C$9))),IF(10&lt;($F$7-2025),$D$7*$E$7*(1+Inputs!$C$8)^(10-1),IF(10=($F$7-2025),$D$7*MAX(($E$7*(1+Inputs!$C$8)^(10-1)),(Inputs!$C$6*(1+Inputs!$C$8)^(10-1)))*Inputs!$C$31,$D$7*MAX(($E$7*(1+Inputs!$C$8)^(($F$7-2025)-1)),(Inputs!$C$6*(1+Inputs!$C$8)^(($F$7-2025)-1)))*(1+Inputs!$C$8)^(10-($F$7-2025)))))</f>
        <v/>
      </c>
    </row>
    <row r="8">
      <c r="B8" t="inlineStr">
        <is>
          <t>150</t>
        </is>
      </c>
      <c r="C8" t="inlineStr">
        <is>
          <t>Heights Wellness</t>
        </is>
      </c>
      <c r="D8" s="16">
        <f>'Rent Roll'!$E$8</f>
        <v/>
      </c>
      <c r="E8" s="17">
        <f>'Rent Roll'!$F$8</f>
        <v/>
      </c>
      <c r="F8">
        <f>'Rent Roll'!$G$8</f>
        <v/>
      </c>
      <c r="G8">
        <f>'Rent Roll'!$H$8</f>
        <v/>
      </c>
      <c r="H8" s="18">
        <f>IF($G$8="vacant",IF(1&lt;Inputs!$C$9,0,IF(1=Inputs!$C$9,$D$8*Inputs!$C$6,$D$8*Inputs!$C$6*(1+Inputs!$C$8)^(1-Inputs!$C$9))),IF(1&lt;($F$8-2025),$D$8*$E$8*(1+Inputs!$C$8)^(1-1),IF(1=($F$8-2025),$D$8*MAX(($E$8*(1+Inputs!$C$8)^(1-1)),(Inputs!$C$6*(1+Inputs!$C$8)^(1-1)))*Inputs!$C$31,$D$8*MAX(($E$8*(1+Inputs!$C$8)^(($F$8-2025)-1)),(Inputs!$C$6*(1+Inputs!$C$8)^(($F$8-2025)-1)))*(1+Inputs!$C$8)^(1-($F$8-2025)))))</f>
        <v/>
      </c>
      <c r="I8" s="18">
        <f>IF($G$8="vacant",IF(2&lt;Inputs!$C$9,0,IF(2=Inputs!$C$9,$D$8*Inputs!$C$6,$D$8*Inputs!$C$6*(1+Inputs!$C$8)^(2-Inputs!$C$9))),IF(2&lt;($F$8-2025),$D$8*$E$8*(1+Inputs!$C$8)^(2-1),IF(2=($F$8-2025),$D$8*MAX(($E$8*(1+Inputs!$C$8)^(2-1)),(Inputs!$C$6*(1+Inputs!$C$8)^(2-1)))*Inputs!$C$31,$D$8*MAX(($E$8*(1+Inputs!$C$8)^(($F$8-2025)-1)),(Inputs!$C$6*(1+Inputs!$C$8)^(($F$8-2025)-1)))*(1+Inputs!$C$8)^(2-($F$8-2025)))))</f>
        <v/>
      </c>
      <c r="J8" s="18">
        <f>IF($G$8="vacant",IF(3&lt;Inputs!$C$9,0,IF(3=Inputs!$C$9,$D$8*Inputs!$C$6,$D$8*Inputs!$C$6*(1+Inputs!$C$8)^(3-Inputs!$C$9))),IF(3&lt;($F$8-2025),$D$8*$E$8*(1+Inputs!$C$8)^(3-1),IF(3=($F$8-2025),$D$8*MAX(($E$8*(1+Inputs!$C$8)^(3-1)),(Inputs!$C$6*(1+Inputs!$C$8)^(3-1)))*Inputs!$C$31,$D$8*MAX(($E$8*(1+Inputs!$C$8)^(($F$8-2025)-1)),(Inputs!$C$6*(1+Inputs!$C$8)^(($F$8-2025)-1)))*(1+Inputs!$C$8)^(3-($F$8-2025)))))</f>
        <v/>
      </c>
      <c r="K8" s="18">
        <f>IF($G$8="vacant",IF(4&lt;Inputs!$C$9,0,IF(4=Inputs!$C$9,$D$8*Inputs!$C$6,$D$8*Inputs!$C$6*(1+Inputs!$C$8)^(4-Inputs!$C$9))),IF(4&lt;($F$8-2025),$D$8*$E$8*(1+Inputs!$C$8)^(4-1),IF(4=($F$8-2025),$D$8*MAX(($E$8*(1+Inputs!$C$8)^(4-1)),(Inputs!$C$6*(1+Inputs!$C$8)^(4-1)))*Inputs!$C$31,$D$8*MAX(($E$8*(1+Inputs!$C$8)^(($F$8-2025)-1)),(Inputs!$C$6*(1+Inputs!$C$8)^(($F$8-2025)-1)))*(1+Inputs!$C$8)^(4-($F$8-2025)))))</f>
        <v/>
      </c>
      <c r="L8" s="18">
        <f>IF($G$8="vacant",IF(5&lt;Inputs!$C$9,0,IF(5=Inputs!$C$9,$D$8*Inputs!$C$6,$D$8*Inputs!$C$6*(1+Inputs!$C$8)^(5-Inputs!$C$9))),IF(5&lt;($F$8-2025),$D$8*$E$8*(1+Inputs!$C$8)^(5-1),IF(5=($F$8-2025),$D$8*MAX(($E$8*(1+Inputs!$C$8)^(5-1)),(Inputs!$C$6*(1+Inputs!$C$8)^(5-1)))*Inputs!$C$31,$D$8*MAX(($E$8*(1+Inputs!$C$8)^(($F$8-2025)-1)),(Inputs!$C$6*(1+Inputs!$C$8)^(($F$8-2025)-1)))*(1+Inputs!$C$8)^(5-($F$8-2025)))))</f>
        <v/>
      </c>
      <c r="M8" s="18">
        <f>IF($G$8="vacant",IF(6&lt;Inputs!$C$9,0,IF(6=Inputs!$C$9,$D$8*Inputs!$C$6,$D$8*Inputs!$C$6*(1+Inputs!$C$8)^(6-Inputs!$C$9))),IF(6&lt;($F$8-2025),$D$8*$E$8*(1+Inputs!$C$8)^(6-1),IF(6=($F$8-2025),$D$8*MAX(($E$8*(1+Inputs!$C$8)^(6-1)),(Inputs!$C$6*(1+Inputs!$C$8)^(6-1)))*Inputs!$C$31,$D$8*MAX(($E$8*(1+Inputs!$C$8)^(($F$8-2025)-1)),(Inputs!$C$6*(1+Inputs!$C$8)^(($F$8-2025)-1)))*(1+Inputs!$C$8)^(6-($F$8-2025)))))</f>
        <v/>
      </c>
      <c r="N8" s="18">
        <f>IF($G$8="vacant",IF(7&lt;Inputs!$C$9,0,IF(7=Inputs!$C$9,$D$8*Inputs!$C$6,$D$8*Inputs!$C$6*(1+Inputs!$C$8)^(7-Inputs!$C$9))),IF(7&lt;($F$8-2025),$D$8*$E$8*(1+Inputs!$C$8)^(7-1),IF(7=($F$8-2025),$D$8*MAX(($E$8*(1+Inputs!$C$8)^(7-1)),(Inputs!$C$6*(1+Inputs!$C$8)^(7-1)))*Inputs!$C$31,$D$8*MAX(($E$8*(1+Inputs!$C$8)^(($F$8-2025)-1)),(Inputs!$C$6*(1+Inputs!$C$8)^(($F$8-2025)-1)))*(1+Inputs!$C$8)^(7-($F$8-2025)))))</f>
        <v/>
      </c>
      <c r="O8" s="18">
        <f>IF($G$8="vacant",IF(8&lt;Inputs!$C$9,0,IF(8=Inputs!$C$9,$D$8*Inputs!$C$6,$D$8*Inputs!$C$6*(1+Inputs!$C$8)^(8-Inputs!$C$9))),IF(8&lt;($F$8-2025),$D$8*$E$8*(1+Inputs!$C$8)^(8-1),IF(8=($F$8-2025),$D$8*MAX(($E$8*(1+Inputs!$C$8)^(8-1)),(Inputs!$C$6*(1+Inputs!$C$8)^(8-1)))*Inputs!$C$31,$D$8*MAX(($E$8*(1+Inputs!$C$8)^(($F$8-2025)-1)),(Inputs!$C$6*(1+Inputs!$C$8)^(($F$8-2025)-1)))*(1+Inputs!$C$8)^(8-($F$8-2025)))))</f>
        <v/>
      </c>
      <c r="P8" s="18">
        <f>IF($G$8="vacant",IF(9&lt;Inputs!$C$9,0,IF(9=Inputs!$C$9,$D$8*Inputs!$C$6,$D$8*Inputs!$C$6*(1+Inputs!$C$8)^(9-Inputs!$C$9))),IF(9&lt;($F$8-2025),$D$8*$E$8*(1+Inputs!$C$8)^(9-1),IF(9=($F$8-2025),$D$8*MAX(($E$8*(1+Inputs!$C$8)^(9-1)),(Inputs!$C$6*(1+Inputs!$C$8)^(9-1)))*Inputs!$C$31,$D$8*MAX(($E$8*(1+Inputs!$C$8)^(($F$8-2025)-1)),(Inputs!$C$6*(1+Inputs!$C$8)^(($F$8-2025)-1)))*(1+Inputs!$C$8)^(9-($F$8-2025)))))</f>
        <v/>
      </c>
      <c r="Q8" s="18">
        <f>IF($G$8="vacant",IF(10&lt;Inputs!$C$9,0,IF(10=Inputs!$C$9,$D$8*Inputs!$C$6,$D$8*Inputs!$C$6*(1+Inputs!$C$8)^(10-Inputs!$C$9))),IF(10&lt;($F$8-2025),$D$8*$E$8*(1+Inputs!$C$8)^(10-1),IF(10=($F$8-2025),$D$8*MAX(($E$8*(1+Inputs!$C$8)^(10-1)),(Inputs!$C$6*(1+Inputs!$C$8)^(10-1)))*Inputs!$C$31,$D$8*MAX(($E$8*(1+Inputs!$C$8)^(($F$8-2025)-1)),(Inputs!$C$6*(1+Inputs!$C$8)^(($F$8-2025)-1)))*(1+Inputs!$C$8)^(10-($F$8-2025)))))</f>
        <v/>
      </c>
    </row>
    <row r="9">
      <c r="B9" t="inlineStr">
        <is>
          <t>1415</t>
        </is>
      </c>
      <c r="C9" t="inlineStr">
        <is>
          <t>Vacant - Inline</t>
        </is>
      </c>
      <c r="D9" s="16">
        <f>'Rent Roll'!$E$9</f>
        <v/>
      </c>
      <c r="E9" s="17">
        <f>'Rent Roll'!$F$9</f>
        <v/>
      </c>
      <c r="F9">
        <f>'Rent Roll'!$G$9</f>
        <v/>
      </c>
      <c r="G9">
        <f>'Rent Roll'!$H$9</f>
        <v/>
      </c>
      <c r="H9" s="18">
        <f>IF($G$9="vacant",IF(1&lt;Inputs!$C$9,0,IF(1=Inputs!$C$9,$D$9*Inputs!$C$6,$D$9*Inputs!$C$6*(1+Inputs!$C$8)^(1-Inputs!$C$9))),IF(1&lt;($F$9-2025),$D$9*$E$9*(1+Inputs!$C$8)^(1-1),IF(1=($F$9-2025),$D$9*MAX(($E$9*(1+Inputs!$C$8)^(1-1)),(Inputs!$C$6*(1+Inputs!$C$8)^(1-1)))*Inputs!$C$31,$D$9*MAX(($E$9*(1+Inputs!$C$8)^(($F$9-2025)-1)),(Inputs!$C$6*(1+Inputs!$C$8)^(($F$9-2025)-1)))*(1+Inputs!$C$8)^(1-($F$9-2025)))))</f>
        <v/>
      </c>
      <c r="I9" s="18">
        <f>IF($G$9="vacant",IF(2&lt;Inputs!$C$9,0,IF(2=Inputs!$C$9,$D$9*Inputs!$C$6,$D$9*Inputs!$C$6*(1+Inputs!$C$8)^(2-Inputs!$C$9))),IF(2&lt;($F$9-2025),$D$9*$E$9*(1+Inputs!$C$8)^(2-1),IF(2=($F$9-2025),$D$9*MAX(($E$9*(1+Inputs!$C$8)^(2-1)),(Inputs!$C$6*(1+Inputs!$C$8)^(2-1)))*Inputs!$C$31,$D$9*MAX(($E$9*(1+Inputs!$C$8)^(($F$9-2025)-1)),(Inputs!$C$6*(1+Inputs!$C$8)^(($F$9-2025)-1)))*(1+Inputs!$C$8)^(2-($F$9-2025)))))</f>
        <v/>
      </c>
      <c r="J9" s="18">
        <f>IF($G$9="vacant",IF(3&lt;Inputs!$C$9,0,IF(3=Inputs!$C$9,$D$9*Inputs!$C$6,$D$9*Inputs!$C$6*(1+Inputs!$C$8)^(3-Inputs!$C$9))),IF(3&lt;($F$9-2025),$D$9*$E$9*(1+Inputs!$C$8)^(3-1),IF(3=($F$9-2025),$D$9*MAX(($E$9*(1+Inputs!$C$8)^(3-1)),(Inputs!$C$6*(1+Inputs!$C$8)^(3-1)))*Inputs!$C$31,$D$9*MAX(($E$9*(1+Inputs!$C$8)^(($F$9-2025)-1)),(Inputs!$C$6*(1+Inputs!$C$8)^(($F$9-2025)-1)))*(1+Inputs!$C$8)^(3-($F$9-2025)))))</f>
        <v/>
      </c>
      <c r="K9" s="18">
        <f>IF($G$9="vacant",IF(4&lt;Inputs!$C$9,0,IF(4=Inputs!$C$9,$D$9*Inputs!$C$6,$D$9*Inputs!$C$6*(1+Inputs!$C$8)^(4-Inputs!$C$9))),IF(4&lt;($F$9-2025),$D$9*$E$9*(1+Inputs!$C$8)^(4-1),IF(4=($F$9-2025),$D$9*MAX(($E$9*(1+Inputs!$C$8)^(4-1)),(Inputs!$C$6*(1+Inputs!$C$8)^(4-1)))*Inputs!$C$31,$D$9*MAX(($E$9*(1+Inputs!$C$8)^(($F$9-2025)-1)),(Inputs!$C$6*(1+Inputs!$C$8)^(($F$9-2025)-1)))*(1+Inputs!$C$8)^(4-($F$9-2025)))))</f>
        <v/>
      </c>
      <c r="L9" s="18">
        <f>IF($G$9="vacant",IF(5&lt;Inputs!$C$9,0,IF(5=Inputs!$C$9,$D$9*Inputs!$C$6,$D$9*Inputs!$C$6*(1+Inputs!$C$8)^(5-Inputs!$C$9))),IF(5&lt;($F$9-2025),$D$9*$E$9*(1+Inputs!$C$8)^(5-1),IF(5=($F$9-2025),$D$9*MAX(($E$9*(1+Inputs!$C$8)^(5-1)),(Inputs!$C$6*(1+Inputs!$C$8)^(5-1)))*Inputs!$C$31,$D$9*MAX(($E$9*(1+Inputs!$C$8)^(($F$9-2025)-1)),(Inputs!$C$6*(1+Inputs!$C$8)^(($F$9-2025)-1)))*(1+Inputs!$C$8)^(5-($F$9-2025)))))</f>
        <v/>
      </c>
      <c r="M9" s="18">
        <f>IF($G$9="vacant",IF(6&lt;Inputs!$C$9,0,IF(6=Inputs!$C$9,$D$9*Inputs!$C$6,$D$9*Inputs!$C$6*(1+Inputs!$C$8)^(6-Inputs!$C$9))),IF(6&lt;($F$9-2025),$D$9*$E$9*(1+Inputs!$C$8)^(6-1),IF(6=($F$9-2025),$D$9*MAX(($E$9*(1+Inputs!$C$8)^(6-1)),(Inputs!$C$6*(1+Inputs!$C$8)^(6-1)))*Inputs!$C$31,$D$9*MAX(($E$9*(1+Inputs!$C$8)^(($F$9-2025)-1)),(Inputs!$C$6*(1+Inputs!$C$8)^(($F$9-2025)-1)))*(1+Inputs!$C$8)^(6-($F$9-2025)))))</f>
        <v/>
      </c>
      <c r="N9" s="18">
        <f>IF($G$9="vacant",IF(7&lt;Inputs!$C$9,0,IF(7=Inputs!$C$9,$D$9*Inputs!$C$6,$D$9*Inputs!$C$6*(1+Inputs!$C$8)^(7-Inputs!$C$9))),IF(7&lt;($F$9-2025),$D$9*$E$9*(1+Inputs!$C$8)^(7-1),IF(7=($F$9-2025),$D$9*MAX(($E$9*(1+Inputs!$C$8)^(7-1)),(Inputs!$C$6*(1+Inputs!$C$8)^(7-1)))*Inputs!$C$31,$D$9*MAX(($E$9*(1+Inputs!$C$8)^(($F$9-2025)-1)),(Inputs!$C$6*(1+Inputs!$C$8)^(($F$9-2025)-1)))*(1+Inputs!$C$8)^(7-($F$9-2025)))))</f>
        <v/>
      </c>
      <c r="O9" s="18">
        <f>IF($G$9="vacant",IF(8&lt;Inputs!$C$9,0,IF(8=Inputs!$C$9,$D$9*Inputs!$C$6,$D$9*Inputs!$C$6*(1+Inputs!$C$8)^(8-Inputs!$C$9))),IF(8&lt;($F$9-2025),$D$9*$E$9*(1+Inputs!$C$8)^(8-1),IF(8=($F$9-2025),$D$9*MAX(($E$9*(1+Inputs!$C$8)^(8-1)),(Inputs!$C$6*(1+Inputs!$C$8)^(8-1)))*Inputs!$C$31,$D$9*MAX(($E$9*(1+Inputs!$C$8)^(($F$9-2025)-1)),(Inputs!$C$6*(1+Inputs!$C$8)^(($F$9-2025)-1)))*(1+Inputs!$C$8)^(8-($F$9-2025)))))</f>
        <v/>
      </c>
      <c r="P9" s="18">
        <f>IF($G$9="vacant",IF(9&lt;Inputs!$C$9,0,IF(9=Inputs!$C$9,$D$9*Inputs!$C$6,$D$9*Inputs!$C$6*(1+Inputs!$C$8)^(9-Inputs!$C$9))),IF(9&lt;($F$9-2025),$D$9*$E$9*(1+Inputs!$C$8)^(9-1),IF(9=($F$9-2025),$D$9*MAX(($E$9*(1+Inputs!$C$8)^(9-1)),(Inputs!$C$6*(1+Inputs!$C$8)^(9-1)))*Inputs!$C$31,$D$9*MAX(($E$9*(1+Inputs!$C$8)^(($F$9-2025)-1)),(Inputs!$C$6*(1+Inputs!$C$8)^(($F$9-2025)-1)))*(1+Inputs!$C$8)^(9-($F$9-2025)))))</f>
        <v/>
      </c>
      <c r="Q9" s="18">
        <f>IF($G$9="vacant",IF(10&lt;Inputs!$C$9,0,IF(10=Inputs!$C$9,$D$9*Inputs!$C$6,$D$9*Inputs!$C$6*(1+Inputs!$C$8)^(10-Inputs!$C$9))),IF(10&lt;($F$9-2025),$D$9*$E$9*(1+Inputs!$C$8)^(10-1),IF(10=($F$9-2025),$D$9*MAX(($E$9*(1+Inputs!$C$8)^(10-1)),(Inputs!$C$6*(1+Inputs!$C$8)^(10-1)))*Inputs!$C$31,$D$9*MAX(($E$9*(1+Inputs!$C$8)^(($F$9-2025)-1)),(Inputs!$C$6*(1+Inputs!$C$8)^(($F$9-2025)-1)))*(1+Inputs!$C$8)^(10-($F$9-2025)))))</f>
        <v/>
      </c>
    </row>
    <row r="10">
      <c r="B10" t="inlineStr">
        <is>
          <t>1413A</t>
        </is>
      </c>
      <c r="C10" t="inlineStr">
        <is>
          <t>Brassica Sandwiches</t>
        </is>
      </c>
      <c r="D10" s="16">
        <f>'Rent Roll'!$E$10</f>
        <v/>
      </c>
      <c r="E10" s="17">
        <f>'Rent Roll'!$F$10</f>
        <v/>
      </c>
      <c r="F10">
        <f>'Rent Roll'!$G$10</f>
        <v/>
      </c>
      <c r="G10">
        <f>'Rent Roll'!$H$10</f>
        <v/>
      </c>
      <c r="H10" s="18">
        <f>IF($G$10="vacant",IF(1&lt;Inputs!$C$9,0,IF(1=Inputs!$C$9,$D$10*Inputs!$C$6,$D$10*Inputs!$C$6*(1+Inputs!$C$8)^(1-Inputs!$C$9))),IF(1&lt;($F$10-2025),$D$10*$E$10*(1+Inputs!$C$8)^(1-1),IF(1=($F$10-2025),$D$10*MAX(($E$10*(1+Inputs!$C$8)^(1-1)),(Inputs!$C$6*(1+Inputs!$C$8)^(1-1)))*Inputs!$C$31,$D$10*MAX(($E$10*(1+Inputs!$C$8)^(($F$10-2025)-1)),(Inputs!$C$6*(1+Inputs!$C$8)^(($F$10-2025)-1)))*(1+Inputs!$C$8)^(1-($F$10-2025)))))</f>
        <v/>
      </c>
      <c r="I10" s="18">
        <f>IF($G$10="vacant",IF(2&lt;Inputs!$C$9,0,IF(2=Inputs!$C$9,$D$10*Inputs!$C$6,$D$10*Inputs!$C$6*(1+Inputs!$C$8)^(2-Inputs!$C$9))),IF(2&lt;($F$10-2025),$D$10*$E$10*(1+Inputs!$C$8)^(2-1),IF(2=($F$10-2025),$D$10*MAX(($E$10*(1+Inputs!$C$8)^(2-1)),(Inputs!$C$6*(1+Inputs!$C$8)^(2-1)))*Inputs!$C$31,$D$10*MAX(($E$10*(1+Inputs!$C$8)^(($F$10-2025)-1)),(Inputs!$C$6*(1+Inputs!$C$8)^(($F$10-2025)-1)))*(1+Inputs!$C$8)^(2-($F$10-2025)))))</f>
        <v/>
      </c>
      <c r="J10" s="18">
        <f>IF($G$10="vacant",IF(3&lt;Inputs!$C$9,0,IF(3=Inputs!$C$9,$D$10*Inputs!$C$6,$D$10*Inputs!$C$6*(1+Inputs!$C$8)^(3-Inputs!$C$9))),IF(3&lt;($F$10-2025),$D$10*$E$10*(1+Inputs!$C$8)^(3-1),IF(3=($F$10-2025),$D$10*MAX(($E$10*(1+Inputs!$C$8)^(3-1)),(Inputs!$C$6*(1+Inputs!$C$8)^(3-1)))*Inputs!$C$31,$D$10*MAX(($E$10*(1+Inputs!$C$8)^(($F$10-2025)-1)),(Inputs!$C$6*(1+Inputs!$C$8)^(($F$10-2025)-1)))*(1+Inputs!$C$8)^(3-($F$10-2025)))))</f>
        <v/>
      </c>
      <c r="K10" s="18">
        <f>IF($G$10="vacant",IF(4&lt;Inputs!$C$9,0,IF(4=Inputs!$C$9,$D$10*Inputs!$C$6,$D$10*Inputs!$C$6*(1+Inputs!$C$8)^(4-Inputs!$C$9))),IF(4&lt;($F$10-2025),$D$10*$E$10*(1+Inputs!$C$8)^(4-1),IF(4=($F$10-2025),$D$10*MAX(($E$10*(1+Inputs!$C$8)^(4-1)),(Inputs!$C$6*(1+Inputs!$C$8)^(4-1)))*Inputs!$C$31,$D$10*MAX(($E$10*(1+Inputs!$C$8)^(($F$10-2025)-1)),(Inputs!$C$6*(1+Inputs!$C$8)^(($F$10-2025)-1)))*(1+Inputs!$C$8)^(4-($F$10-2025)))))</f>
        <v/>
      </c>
      <c r="L10" s="18">
        <f>IF($G$10="vacant",IF(5&lt;Inputs!$C$9,0,IF(5=Inputs!$C$9,$D$10*Inputs!$C$6,$D$10*Inputs!$C$6*(1+Inputs!$C$8)^(5-Inputs!$C$9))),IF(5&lt;($F$10-2025),$D$10*$E$10*(1+Inputs!$C$8)^(5-1),IF(5=($F$10-2025),$D$10*MAX(($E$10*(1+Inputs!$C$8)^(5-1)),(Inputs!$C$6*(1+Inputs!$C$8)^(5-1)))*Inputs!$C$31,$D$10*MAX(($E$10*(1+Inputs!$C$8)^(($F$10-2025)-1)),(Inputs!$C$6*(1+Inputs!$C$8)^(($F$10-2025)-1)))*(1+Inputs!$C$8)^(5-($F$10-2025)))))</f>
        <v/>
      </c>
      <c r="M10" s="18">
        <f>IF($G$10="vacant",IF(6&lt;Inputs!$C$9,0,IF(6=Inputs!$C$9,$D$10*Inputs!$C$6,$D$10*Inputs!$C$6*(1+Inputs!$C$8)^(6-Inputs!$C$9))),IF(6&lt;($F$10-2025),$D$10*$E$10*(1+Inputs!$C$8)^(6-1),IF(6=($F$10-2025),$D$10*MAX(($E$10*(1+Inputs!$C$8)^(6-1)),(Inputs!$C$6*(1+Inputs!$C$8)^(6-1)))*Inputs!$C$31,$D$10*MAX(($E$10*(1+Inputs!$C$8)^(($F$10-2025)-1)),(Inputs!$C$6*(1+Inputs!$C$8)^(($F$10-2025)-1)))*(1+Inputs!$C$8)^(6-($F$10-2025)))))</f>
        <v/>
      </c>
      <c r="N10" s="18">
        <f>IF($G$10="vacant",IF(7&lt;Inputs!$C$9,0,IF(7=Inputs!$C$9,$D$10*Inputs!$C$6,$D$10*Inputs!$C$6*(1+Inputs!$C$8)^(7-Inputs!$C$9))),IF(7&lt;($F$10-2025),$D$10*$E$10*(1+Inputs!$C$8)^(7-1),IF(7=($F$10-2025),$D$10*MAX(($E$10*(1+Inputs!$C$8)^(7-1)),(Inputs!$C$6*(1+Inputs!$C$8)^(7-1)))*Inputs!$C$31,$D$10*MAX(($E$10*(1+Inputs!$C$8)^(($F$10-2025)-1)),(Inputs!$C$6*(1+Inputs!$C$8)^(($F$10-2025)-1)))*(1+Inputs!$C$8)^(7-($F$10-2025)))))</f>
        <v/>
      </c>
      <c r="O10" s="18">
        <f>IF($G$10="vacant",IF(8&lt;Inputs!$C$9,0,IF(8=Inputs!$C$9,$D$10*Inputs!$C$6,$D$10*Inputs!$C$6*(1+Inputs!$C$8)^(8-Inputs!$C$9))),IF(8&lt;($F$10-2025),$D$10*$E$10*(1+Inputs!$C$8)^(8-1),IF(8=($F$10-2025),$D$10*MAX(($E$10*(1+Inputs!$C$8)^(8-1)),(Inputs!$C$6*(1+Inputs!$C$8)^(8-1)))*Inputs!$C$31,$D$10*MAX(($E$10*(1+Inputs!$C$8)^(($F$10-2025)-1)),(Inputs!$C$6*(1+Inputs!$C$8)^(($F$10-2025)-1)))*(1+Inputs!$C$8)^(8-($F$10-2025)))))</f>
        <v/>
      </c>
      <c r="P10" s="18">
        <f>IF($G$10="vacant",IF(9&lt;Inputs!$C$9,0,IF(9=Inputs!$C$9,$D$10*Inputs!$C$6,$D$10*Inputs!$C$6*(1+Inputs!$C$8)^(9-Inputs!$C$9))),IF(9&lt;($F$10-2025),$D$10*$E$10*(1+Inputs!$C$8)^(9-1),IF(9=($F$10-2025),$D$10*MAX(($E$10*(1+Inputs!$C$8)^(9-1)),(Inputs!$C$6*(1+Inputs!$C$8)^(9-1)))*Inputs!$C$31,$D$10*MAX(($E$10*(1+Inputs!$C$8)^(($F$10-2025)-1)),(Inputs!$C$6*(1+Inputs!$C$8)^(($F$10-2025)-1)))*(1+Inputs!$C$8)^(9-($F$10-2025)))))</f>
        <v/>
      </c>
      <c r="Q10" s="18">
        <f>IF($G$10="vacant",IF(10&lt;Inputs!$C$9,0,IF(10=Inputs!$C$9,$D$10*Inputs!$C$6,$D$10*Inputs!$C$6*(1+Inputs!$C$8)^(10-Inputs!$C$9))),IF(10&lt;($F$10-2025),$D$10*$E$10*(1+Inputs!$C$8)^(10-1),IF(10=($F$10-2025),$D$10*MAX(($E$10*(1+Inputs!$C$8)^(10-1)),(Inputs!$C$6*(1+Inputs!$C$8)^(10-1)))*Inputs!$C$31,$D$10*MAX(($E$10*(1+Inputs!$C$8)^(($F$10-2025)-1)),(Inputs!$C$6*(1+Inputs!$C$8)^(($F$10-2025)-1)))*(1+Inputs!$C$8)^(10-($F$10-2025)))))</f>
        <v/>
      </c>
    </row>
    <row r="11">
      <c r="B11" t="inlineStr">
        <is>
          <t>170</t>
        </is>
      </c>
      <c r="C11" t="inlineStr">
        <is>
          <t>Isle Pedi Spa</t>
        </is>
      </c>
      <c r="D11" s="16">
        <f>'Rent Roll'!$E$11</f>
        <v/>
      </c>
      <c r="E11" s="17">
        <f>'Rent Roll'!$F$11</f>
        <v/>
      </c>
      <c r="F11">
        <f>'Rent Roll'!$G$11</f>
        <v/>
      </c>
      <c r="G11">
        <f>'Rent Roll'!$H$11</f>
        <v/>
      </c>
      <c r="H11" s="18">
        <f>IF($G$11="vacant",IF(1&lt;Inputs!$C$9,0,IF(1=Inputs!$C$9,$D$11*Inputs!$C$6,$D$11*Inputs!$C$6*(1+Inputs!$C$8)^(1-Inputs!$C$9))),IF(1&lt;($F$11-2025),$D$11*$E$11*(1+Inputs!$C$8)^(1-1),IF(1=($F$11-2025),$D$11*MAX(($E$11*(1+Inputs!$C$8)^(1-1)),(Inputs!$C$6*(1+Inputs!$C$8)^(1-1)))*Inputs!$C$31,$D$11*MAX(($E$11*(1+Inputs!$C$8)^(($F$11-2025)-1)),(Inputs!$C$6*(1+Inputs!$C$8)^(($F$11-2025)-1)))*(1+Inputs!$C$8)^(1-($F$11-2025)))))</f>
        <v/>
      </c>
      <c r="I11" s="18">
        <f>IF($G$11="vacant",IF(2&lt;Inputs!$C$9,0,IF(2=Inputs!$C$9,$D$11*Inputs!$C$6,$D$11*Inputs!$C$6*(1+Inputs!$C$8)^(2-Inputs!$C$9))),IF(2&lt;($F$11-2025),$D$11*$E$11*(1+Inputs!$C$8)^(2-1),IF(2=($F$11-2025),$D$11*MAX(($E$11*(1+Inputs!$C$8)^(2-1)),(Inputs!$C$6*(1+Inputs!$C$8)^(2-1)))*Inputs!$C$31,$D$11*MAX(($E$11*(1+Inputs!$C$8)^(($F$11-2025)-1)),(Inputs!$C$6*(1+Inputs!$C$8)^(($F$11-2025)-1)))*(1+Inputs!$C$8)^(2-($F$11-2025)))))</f>
        <v/>
      </c>
      <c r="J11" s="18">
        <f>IF($G$11="vacant",IF(3&lt;Inputs!$C$9,0,IF(3=Inputs!$C$9,$D$11*Inputs!$C$6,$D$11*Inputs!$C$6*(1+Inputs!$C$8)^(3-Inputs!$C$9))),IF(3&lt;($F$11-2025),$D$11*$E$11*(1+Inputs!$C$8)^(3-1),IF(3=($F$11-2025),$D$11*MAX(($E$11*(1+Inputs!$C$8)^(3-1)),(Inputs!$C$6*(1+Inputs!$C$8)^(3-1)))*Inputs!$C$31,$D$11*MAX(($E$11*(1+Inputs!$C$8)^(($F$11-2025)-1)),(Inputs!$C$6*(1+Inputs!$C$8)^(($F$11-2025)-1)))*(1+Inputs!$C$8)^(3-($F$11-2025)))))</f>
        <v/>
      </c>
      <c r="K11" s="18">
        <f>IF($G$11="vacant",IF(4&lt;Inputs!$C$9,0,IF(4=Inputs!$C$9,$D$11*Inputs!$C$6,$D$11*Inputs!$C$6*(1+Inputs!$C$8)^(4-Inputs!$C$9))),IF(4&lt;($F$11-2025),$D$11*$E$11*(1+Inputs!$C$8)^(4-1),IF(4=($F$11-2025),$D$11*MAX(($E$11*(1+Inputs!$C$8)^(4-1)),(Inputs!$C$6*(1+Inputs!$C$8)^(4-1)))*Inputs!$C$31,$D$11*MAX(($E$11*(1+Inputs!$C$8)^(($F$11-2025)-1)),(Inputs!$C$6*(1+Inputs!$C$8)^(($F$11-2025)-1)))*(1+Inputs!$C$8)^(4-($F$11-2025)))))</f>
        <v/>
      </c>
      <c r="L11" s="18">
        <f>IF($G$11="vacant",IF(5&lt;Inputs!$C$9,0,IF(5=Inputs!$C$9,$D$11*Inputs!$C$6,$D$11*Inputs!$C$6*(1+Inputs!$C$8)^(5-Inputs!$C$9))),IF(5&lt;($F$11-2025),$D$11*$E$11*(1+Inputs!$C$8)^(5-1),IF(5=($F$11-2025),$D$11*MAX(($E$11*(1+Inputs!$C$8)^(5-1)),(Inputs!$C$6*(1+Inputs!$C$8)^(5-1)))*Inputs!$C$31,$D$11*MAX(($E$11*(1+Inputs!$C$8)^(($F$11-2025)-1)),(Inputs!$C$6*(1+Inputs!$C$8)^(($F$11-2025)-1)))*(1+Inputs!$C$8)^(5-($F$11-2025)))))</f>
        <v/>
      </c>
      <c r="M11" s="18">
        <f>IF($G$11="vacant",IF(6&lt;Inputs!$C$9,0,IF(6=Inputs!$C$9,$D$11*Inputs!$C$6,$D$11*Inputs!$C$6*(1+Inputs!$C$8)^(6-Inputs!$C$9))),IF(6&lt;($F$11-2025),$D$11*$E$11*(1+Inputs!$C$8)^(6-1),IF(6=($F$11-2025),$D$11*MAX(($E$11*(1+Inputs!$C$8)^(6-1)),(Inputs!$C$6*(1+Inputs!$C$8)^(6-1)))*Inputs!$C$31,$D$11*MAX(($E$11*(1+Inputs!$C$8)^(($F$11-2025)-1)),(Inputs!$C$6*(1+Inputs!$C$8)^(($F$11-2025)-1)))*(1+Inputs!$C$8)^(6-($F$11-2025)))))</f>
        <v/>
      </c>
      <c r="N11" s="18">
        <f>IF($G$11="vacant",IF(7&lt;Inputs!$C$9,0,IF(7=Inputs!$C$9,$D$11*Inputs!$C$6,$D$11*Inputs!$C$6*(1+Inputs!$C$8)^(7-Inputs!$C$9))),IF(7&lt;($F$11-2025),$D$11*$E$11*(1+Inputs!$C$8)^(7-1),IF(7=($F$11-2025),$D$11*MAX(($E$11*(1+Inputs!$C$8)^(7-1)),(Inputs!$C$6*(1+Inputs!$C$8)^(7-1)))*Inputs!$C$31,$D$11*MAX(($E$11*(1+Inputs!$C$8)^(($F$11-2025)-1)),(Inputs!$C$6*(1+Inputs!$C$8)^(($F$11-2025)-1)))*(1+Inputs!$C$8)^(7-($F$11-2025)))))</f>
        <v/>
      </c>
      <c r="O11" s="18">
        <f>IF($G$11="vacant",IF(8&lt;Inputs!$C$9,0,IF(8=Inputs!$C$9,$D$11*Inputs!$C$6,$D$11*Inputs!$C$6*(1+Inputs!$C$8)^(8-Inputs!$C$9))),IF(8&lt;($F$11-2025),$D$11*$E$11*(1+Inputs!$C$8)^(8-1),IF(8=($F$11-2025),$D$11*MAX(($E$11*(1+Inputs!$C$8)^(8-1)),(Inputs!$C$6*(1+Inputs!$C$8)^(8-1)))*Inputs!$C$31,$D$11*MAX(($E$11*(1+Inputs!$C$8)^(($F$11-2025)-1)),(Inputs!$C$6*(1+Inputs!$C$8)^(($F$11-2025)-1)))*(1+Inputs!$C$8)^(8-($F$11-2025)))))</f>
        <v/>
      </c>
      <c r="P11" s="18">
        <f>IF($G$11="vacant",IF(9&lt;Inputs!$C$9,0,IF(9=Inputs!$C$9,$D$11*Inputs!$C$6,$D$11*Inputs!$C$6*(1+Inputs!$C$8)^(9-Inputs!$C$9))),IF(9&lt;($F$11-2025),$D$11*$E$11*(1+Inputs!$C$8)^(9-1),IF(9=($F$11-2025),$D$11*MAX(($E$11*(1+Inputs!$C$8)^(9-1)),(Inputs!$C$6*(1+Inputs!$C$8)^(9-1)))*Inputs!$C$31,$D$11*MAX(($E$11*(1+Inputs!$C$8)^(($F$11-2025)-1)),(Inputs!$C$6*(1+Inputs!$C$8)^(($F$11-2025)-1)))*(1+Inputs!$C$8)^(9-($F$11-2025)))))</f>
        <v/>
      </c>
      <c r="Q11" s="18">
        <f>IF($G$11="vacant",IF(10&lt;Inputs!$C$9,0,IF(10=Inputs!$C$9,$D$11*Inputs!$C$6,$D$11*Inputs!$C$6*(1+Inputs!$C$8)^(10-Inputs!$C$9))),IF(10&lt;($F$11-2025),$D$11*$E$11*(1+Inputs!$C$8)^(10-1),IF(10=($F$11-2025),$D$11*MAX(($E$11*(1+Inputs!$C$8)^(10-1)),(Inputs!$C$6*(1+Inputs!$C$8)^(10-1)))*Inputs!$C$31,$D$11*MAX(($E$11*(1+Inputs!$C$8)^(($F$11-2025)-1)),(Inputs!$C$6*(1+Inputs!$C$8)^(($F$11-2025)-1)))*(1+Inputs!$C$8)^(10-($F$11-2025)))))</f>
        <v/>
      </c>
    </row>
    <row r="12">
      <c r="B12" t="inlineStr">
        <is>
          <t>135</t>
        </is>
      </c>
      <c r="C12" t="inlineStr">
        <is>
          <t>Piola</t>
        </is>
      </c>
      <c r="D12" s="16">
        <f>'Rent Roll'!$E$12</f>
        <v/>
      </c>
      <c r="E12" s="17">
        <f>'Rent Roll'!$F$12</f>
        <v/>
      </c>
      <c r="F12">
        <f>'Rent Roll'!$G$12</f>
        <v/>
      </c>
      <c r="G12">
        <f>'Rent Roll'!$H$12</f>
        <v/>
      </c>
      <c r="H12" s="18">
        <f>IF($G$12="vacant",IF(1&lt;Inputs!$C$9,0,IF(1=Inputs!$C$9,$D$12*Inputs!$C$6,$D$12*Inputs!$C$6*(1+Inputs!$C$8)^(1-Inputs!$C$9))),IF(1&lt;($F$12-2025),$D$12*$E$12*(1+Inputs!$C$8)^(1-1),IF(1=($F$12-2025),$D$12*MAX(($E$12*(1+Inputs!$C$8)^(1-1)),(Inputs!$C$6*(1+Inputs!$C$8)^(1-1)))*Inputs!$C$31,$D$12*MAX(($E$12*(1+Inputs!$C$8)^(($F$12-2025)-1)),(Inputs!$C$6*(1+Inputs!$C$8)^(($F$12-2025)-1)))*(1+Inputs!$C$8)^(1-($F$12-2025)))))</f>
        <v/>
      </c>
      <c r="I12" s="18">
        <f>IF($G$12="vacant",IF(2&lt;Inputs!$C$9,0,IF(2=Inputs!$C$9,$D$12*Inputs!$C$6,$D$12*Inputs!$C$6*(1+Inputs!$C$8)^(2-Inputs!$C$9))),IF(2&lt;($F$12-2025),$D$12*$E$12*(1+Inputs!$C$8)^(2-1),IF(2=($F$12-2025),$D$12*MAX(($E$12*(1+Inputs!$C$8)^(2-1)),(Inputs!$C$6*(1+Inputs!$C$8)^(2-1)))*Inputs!$C$31,$D$12*MAX(($E$12*(1+Inputs!$C$8)^(($F$12-2025)-1)),(Inputs!$C$6*(1+Inputs!$C$8)^(($F$12-2025)-1)))*(1+Inputs!$C$8)^(2-($F$12-2025)))))</f>
        <v/>
      </c>
      <c r="J12" s="18">
        <f>IF($G$12="vacant",IF(3&lt;Inputs!$C$9,0,IF(3=Inputs!$C$9,$D$12*Inputs!$C$6,$D$12*Inputs!$C$6*(1+Inputs!$C$8)^(3-Inputs!$C$9))),IF(3&lt;($F$12-2025),$D$12*$E$12*(1+Inputs!$C$8)^(3-1),IF(3=($F$12-2025),$D$12*MAX(($E$12*(1+Inputs!$C$8)^(3-1)),(Inputs!$C$6*(1+Inputs!$C$8)^(3-1)))*Inputs!$C$31,$D$12*MAX(($E$12*(1+Inputs!$C$8)^(($F$12-2025)-1)),(Inputs!$C$6*(1+Inputs!$C$8)^(($F$12-2025)-1)))*(1+Inputs!$C$8)^(3-($F$12-2025)))))</f>
        <v/>
      </c>
      <c r="K12" s="18">
        <f>IF($G$12="vacant",IF(4&lt;Inputs!$C$9,0,IF(4=Inputs!$C$9,$D$12*Inputs!$C$6,$D$12*Inputs!$C$6*(1+Inputs!$C$8)^(4-Inputs!$C$9))),IF(4&lt;($F$12-2025),$D$12*$E$12*(1+Inputs!$C$8)^(4-1),IF(4=($F$12-2025),$D$12*MAX(($E$12*(1+Inputs!$C$8)^(4-1)),(Inputs!$C$6*(1+Inputs!$C$8)^(4-1)))*Inputs!$C$31,$D$12*MAX(($E$12*(1+Inputs!$C$8)^(($F$12-2025)-1)),(Inputs!$C$6*(1+Inputs!$C$8)^(($F$12-2025)-1)))*(1+Inputs!$C$8)^(4-($F$12-2025)))))</f>
        <v/>
      </c>
      <c r="L12" s="18">
        <f>IF($G$12="vacant",IF(5&lt;Inputs!$C$9,0,IF(5=Inputs!$C$9,$D$12*Inputs!$C$6,$D$12*Inputs!$C$6*(1+Inputs!$C$8)^(5-Inputs!$C$9))),IF(5&lt;($F$12-2025),$D$12*$E$12*(1+Inputs!$C$8)^(5-1),IF(5=($F$12-2025),$D$12*MAX(($E$12*(1+Inputs!$C$8)^(5-1)),(Inputs!$C$6*(1+Inputs!$C$8)^(5-1)))*Inputs!$C$31,$D$12*MAX(($E$12*(1+Inputs!$C$8)^(($F$12-2025)-1)),(Inputs!$C$6*(1+Inputs!$C$8)^(($F$12-2025)-1)))*(1+Inputs!$C$8)^(5-($F$12-2025)))))</f>
        <v/>
      </c>
      <c r="M12" s="18">
        <f>IF($G$12="vacant",IF(6&lt;Inputs!$C$9,0,IF(6=Inputs!$C$9,$D$12*Inputs!$C$6,$D$12*Inputs!$C$6*(1+Inputs!$C$8)^(6-Inputs!$C$9))),IF(6&lt;($F$12-2025),$D$12*$E$12*(1+Inputs!$C$8)^(6-1),IF(6=($F$12-2025),$D$12*MAX(($E$12*(1+Inputs!$C$8)^(6-1)),(Inputs!$C$6*(1+Inputs!$C$8)^(6-1)))*Inputs!$C$31,$D$12*MAX(($E$12*(1+Inputs!$C$8)^(($F$12-2025)-1)),(Inputs!$C$6*(1+Inputs!$C$8)^(($F$12-2025)-1)))*(1+Inputs!$C$8)^(6-($F$12-2025)))))</f>
        <v/>
      </c>
      <c r="N12" s="18">
        <f>IF($G$12="vacant",IF(7&lt;Inputs!$C$9,0,IF(7=Inputs!$C$9,$D$12*Inputs!$C$6,$D$12*Inputs!$C$6*(1+Inputs!$C$8)^(7-Inputs!$C$9))),IF(7&lt;($F$12-2025),$D$12*$E$12*(1+Inputs!$C$8)^(7-1),IF(7=($F$12-2025),$D$12*MAX(($E$12*(1+Inputs!$C$8)^(7-1)),(Inputs!$C$6*(1+Inputs!$C$8)^(7-1)))*Inputs!$C$31,$D$12*MAX(($E$12*(1+Inputs!$C$8)^(($F$12-2025)-1)),(Inputs!$C$6*(1+Inputs!$C$8)^(($F$12-2025)-1)))*(1+Inputs!$C$8)^(7-($F$12-2025)))))</f>
        <v/>
      </c>
      <c r="O12" s="18">
        <f>IF($G$12="vacant",IF(8&lt;Inputs!$C$9,0,IF(8=Inputs!$C$9,$D$12*Inputs!$C$6,$D$12*Inputs!$C$6*(1+Inputs!$C$8)^(8-Inputs!$C$9))),IF(8&lt;($F$12-2025),$D$12*$E$12*(1+Inputs!$C$8)^(8-1),IF(8=($F$12-2025),$D$12*MAX(($E$12*(1+Inputs!$C$8)^(8-1)),(Inputs!$C$6*(1+Inputs!$C$8)^(8-1)))*Inputs!$C$31,$D$12*MAX(($E$12*(1+Inputs!$C$8)^(($F$12-2025)-1)),(Inputs!$C$6*(1+Inputs!$C$8)^(($F$12-2025)-1)))*(1+Inputs!$C$8)^(8-($F$12-2025)))))</f>
        <v/>
      </c>
      <c r="P12" s="18">
        <f>IF($G$12="vacant",IF(9&lt;Inputs!$C$9,0,IF(9=Inputs!$C$9,$D$12*Inputs!$C$6,$D$12*Inputs!$C$6*(1+Inputs!$C$8)^(9-Inputs!$C$9))),IF(9&lt;($F$12-2025),$D$12*$E$12*(1+Inputs!$C$8)^(9-1),IF(9=($F$12-2025),$D$12*MAX(($E$12*(1+Inputs!$C$8)^(9-1)),(Inputs!$C$6*(1+Inputs!$C$8)^(9-1)))*Inputs!$C$31,$D$12*MAX(($E$12*(1+Inputs!$C$8)^(($F$12-2025)-1)),(Inputs!$C$6*(1+Inputs!$C$8)^(($F$12-2025)-1)))*(1+Inputs!$C$8)^(9-($F$12-2025)))))</f>
        <v/>
      </c>
      <c r="Q12" s="18">
        <f>IF($G$12="vacant",IF(10&lt;Inputs!$C$9,0,IF(10=Inputs!$C$9,$D$12*Inputs!$C$6,$D$12*Inputs!$C$6*(1+Inputs!$C$8)^(10-Inputs!$C$9))),IF(10&lt;($F$12-2025),$D$12*$E$12*(1+Inputs!$C$8)^(10-1),IF(10=($F$12-2025),$D$12*MAX(($E$12*(1+Inputs!$C$8)^(10-1)),(Inputs!$C$6*(1+Inputs!$C$8)^(10-1)))*Inputs!$C$31,$D$12*MAX(($E$12*(1+Inputs!$C$8)^(($F$12-2025)-1)),(Inputs!$C$6*(1+Inputs!$C$8)^(($F$12-2025)-1)))*(1+Inputs!$C$8)^(10-($F$12-2025)))))</f>
        <v/>
      </c>
    </row>
    <row r="13">
      <c r="B13" t="inlineStr">
        <is>
          <t>100</t>
        </is>
      </c>
      <c r="C13" t="inlineStr">
        <is>
          <t>Distinct Dental</t>
        </is>
      </c>
      <c r="D13" s="16">
        <f>'Rent Roll'!$E$13</f>
        <v/>
      </c>
      <c r="E13" s="17">
        <f>'Rent Roll'!$F$13</f>
        <v/>
      </c>
      <c r="F13">
        <f>'Rent Roll'!$G$13</f>
        <v/>
      </c>
      <c r="G13">
        <f>'Rent Roll'!$H$13</f>
        <v/>
      </c>
      <c r="H13" s="18">
        <f>IF($G$13="vacant",IF(1&lt;Inputs!$C$9,0,IF(1=Inputs!$C$9,$D$13*Inputs!$C$6,$D$13*Inputs!$C$6*(1+Inputs!$C$8)^(1-Inputs!$C$9))),IF(1&lt;($F$13-2025),$D$13*$E$13*(1+Inputs!$C$8)^(1-1),IF(1=($F$13-2025),$D$13*MAX(($E$13*(1+Inputs!$C$8)^(1-1)),(Inputs!$C$6*(1+Inputs!$C$8)^(1-1)))*Inputs!$C$31,$D$13*MAX(($E$13*(1+Inputs!$C$8)^(($F$13-2025)-1)),(Inputs!$C$6*(1+Inputs!$C$8)^(($F$13-2025)-1)))*(1+Inputs!$C$8)^(1-($F$13-2025)))))</f>
        <v/>
      </c>
      <c r="I13" s="18">
        <f>IF($G$13="vacant",IF(2&lt;Inputs!$C$9,0,IF(2=Inputs!$C$9,$D$13*Inputs!$C$6,$D$13*Inputs!$C$6*(1+Inputs!$C$8)^(2-Inputs!$C$9))),IF(2&lt;($F$13-2025),$D$13*$E$13*(1+Inputs!$C$8)^(2-1),IF(2=($F$13-2025),$D$13*MAX(($E$13*(1+Inputs!$C$8)^(2-1)),(Inputs!$C$6*(1+Inputs!$C$8)^(2-1)))*Inputs!$C$31,$D$13*MAX(($E$13*(1+Inputs!$C$8)^(($F$13-2025)-1)),(Inputs!$C$6*(1+Inputs!$C$8)^(($F$13-2025)-1)))*(1+Inputs!$C$8)^(2-($F$13-2025)))))</f>
        <v/>
      </c>
      <c r="J13" s="18">
        <f>IF($G$13="vacant",IF(3&lt;Inputs!$C$9,0,IF(3=Inputs!$C$9,$D$13*Inputs!$C$6,$D$13*Inputs!$C$6*(1+Inputs!$C$8)^(3-Inputs!$C$9))),IF(3&lt;($F$13-2025),$D$13*$E$13*(1+Inputs!$C$8)^(3-1),IF(3=($F$13-2025),$D$13*MAX(($E$13*(1+Inputs!$C$8)^(3-1)),(Inputs!$C$6*(1+Inputs!$C$8)^(3-1)))*Inputs!$C$31,$D$13*MAX(($E$13*(1+Inputs!$C$8)^(($F$13-2025)-1)),(Inputs!$C$6*(1+Inputs!$C$8)^(($F$13-2025)-1)))*(1+Inputs!$C$8)^(3-($F$13-2025)))))</f>
        <v/>
      </c>
      <c r="K13" s="18">
        <f>IF($G$13="vacant",IF(4&lt;Inputs!$C$9,0,IF(4=Inputs!$C$9,$D$13*Inputs!$C$6,$D$13*Inputs!$C$6*(1+Inputs!$C$8)^(4-Inputs!$C$9))),IF(4&lt;($F$13-2025),$D$13*$E$13*(1+Inputs!$C$8)^(4-1),IF(4=($F$13-2025),$D$13*MAX(($E$13*(1+Inputs!$C$8)^(4-1)),(Inputs!$C$6*(1+Inputs!$C$8)^(4-1)))*Inputs!$C$31,$D$13*MAX(($E$13*(1+Inputs!$C$8)^(($F$13-2025)-1)),(Inputs!$C$6*(1+Inputs!$C$8)^(($F$13-2025)-1)))*(1+Inputs!$C$8)^(4-($F$13-2025)))))</f>
        <v/>
      </c>
      <c r="L13" s="18">
        <f>IF($G$13="vacant",IF(5&lt;Inputs!$C$9,0,IF(5=Inputs!$C$9,$D$13*Inputs!$C$6,$D$13*Inputs!$C$6*(1+Inputs!$C$8)^(5-Inputs!$C$9))),IF(5&lt;($F$13-2025),$D$13*$E$13*(1+Inputs!$C$8)^(5-1),IF(5=($F$13-2025),$D$13*MAX(($E$13*(1+Inputs!$C$8)^(5-1)),(Inputs!$C$6*(1+Inputs!$C$8)^(5-1)))*Inputs!$C$31,$D$13*MAX(($E$13*(1+Inputs!$C$8)^(($F$13-2025)-1)),(Inputs!$C$6*(1+Inputs!$C$8)^(($F$13-2025)-1)))*(1+Inputs!$C$8)^(5-($F$13-2025)))))</f>
        <v/>
      </c>
      <c r="M13" s="18">
        <f>IF($G$13="vacant",IF(6&lt;Inputs!$C$9,0,IF(6=Inputs!$C$9,$D$13*Inputs!$C$6,$D$13*Inputs!$C$6*(1+Inputs!$C$8)^(6-Inputs!$C$9))),IF(6&lt;($F$13-2025),$D$13*$E$13*(1+Inputs!$C$8)^(6-1),IF(6=($F$13-2025),$D$13*MAX(($E$13*(1+Inputs!$C$8)^(6-1)),(Inputs!$C$6*(1+Inputs!$C$8)^(6-1)))*Inputs!$C$31,$D$13*MAX(($E$13*(1+Inputs!$C$8)^(($F$13-2025)-1)),(Inputs!$C$6*(1+Inputs!$C$8)^(($F$13-2025)-1)))*(1+Inputs!$C$8)^(6-($F$13-2025)))))</f>
        <v/>
      </c>
      <c r="N13" s="18">
        <f>IF($G$13="vacant",IF(7&lt;Inputs!$C$9,0,IF(7=Inputs!$C$9,$D$13*Inputs!$C$6,$D$13*Inputs!$C$6*(1+Inputs!$C$8)^(7-Inputs!$C$9))),IF(7&lt;($F$13-2025),$D$13*$E$13*(1+Inputs!$C$8)^(7-1),IF(7=($F$13-2025),$D$13*MAX(($E$13*(1+Inputs!$C$8)^(7-1)),(Inputs!$C$6*(1+Inputs!$C$8)^(7-1)))*Inputs!$C$31,$D$13*MAX(($E$13*(1+Inputs!$C$8)^(($F$13-2025)-1)),(Inputs!$C$6*(1+Inputs!$C$8)^(($F$13-2025)-1)))*(1+Inputs!$C$8)^(7-($F$13-2025)))))</f>
        <v/>
      </c>
      <c r="O13" s="18">
        <f>IF($G$13="vacant",IF(8&lt;Inputs!$C$9,0,IF(8=Inputs!$C$9,$D$13*Inputs!$C$6,$D$13*Inputs!$C$6*(1+Inputs!$C$8)^(8-Inputs!$C$9))),IF(8&lt;($F$13-2025),$D$13*$E$13*(1+Inputs!$C$8)^(8-1),IF(8=($F$13-2025),$D$13*MAX(($E$13*(1+Inputs!$C$8)^(8-1)),(Inputs!$C$6*(1+Inputs!$C$8)^(8-1)))*Inputs!$C$31,$D$13*MAX(($E$13*(1+Inputs!$C$8)^(($F$13-2025)-1)),(Inputs!$C$6*(1+Inputs!$C$8)^(($F$13-2025)-1)))*(1+Inputs!$C$8)^(8-($F$13-2025)))))</f>
        <v/>
      </c>
      <c r="P13" s="18">
        <f>IF($G$13="vacant",IF(9&lt;Inputs!$C$9,0,IF(9=Inputs!$C$9,$D$13*Inputs!$C$6,$D$13*Inputs!$C$6*(1+Inputs!$C$8)^(9-Inputs!$C$9))),IF(9&lt;($F$13-2025),$D$13*$E$13*(1+Inputs!$C$8)^(9-1),IF(9=($F$13-2025),$D$13*MAX(($E$13*(1+Inputs!$C$8)^(9-1)),(Inputs!$C$6*(1+Inputs!$C$8)^(9-1)))*Inputs!$C$31,$D$13*MAX(($E$13*(1+Inputs!$C$8)^(($F$13-2025)-1)),(Inputs!$C$6*(1+Inputs!$C$8)^(($F$13-2025)-1)))*(1+Inputs!$C$8)^(9-($F$13-2025)))))</f>
        <v/>
      </c>
      <c r="Q13" s="18">
        <f>IF($G$13="vacant",IF(10&lt;Inputs!$C$9,0,IF(10=Inputs!$C$9,$D$13*Inputs!$C$6,$D$13*Inputs!$C$6*(1+Inputs!$C$8)^(10-Inputs!$C$9))),IF(10&lt;($F$13-2025),$D$13*$E$13*(1+Inputs!$C$8)^(10-1),IF(10=($F$13-2025),$D$13*MAX(($E$13*(1+Inputs!$C$8)^(10-1)),(Inputs!$C$6*(1+Inputs!$C$8)^(10-1)))*Inputs!$C$31,$D$13*MAX(($E$13*(1+Inputs!$C$8)^(($F$13-2025)-1)),(Inputs!$C$6*(1+Inputs!$C$8)^(($F$13-2025)-1)))*(1+Inputs!$C$8)^(10-($F$13-2025)))))</f>
        <v/>
      </c>
    </row>
    <row r="14">
      <c r="B14" t="inlineStr">
        <is>
          <t>280</t>
        </is>
      </c>
      <c r="C14" t="inlineStr">
        <is>
          <t>School of Rock</t>
        </is>
      </c>
      <c r="D14" s="16">
        <f>'Rent Roll'!$E$14</f>
        <v/>
      </c>
      <c r="E14" s="17">
        <f>'Rent Roll'!$F$14</f>
        <v/>
      </c>
      <c r="F14">
        <f>'Rent Roll'!$G$14</f>
        <v/>
      </c>
      <c r="G14">
        <f>'Rent Roll'!$H$14</f>
        <v/>
      </c>
      <c r="H14" s="18">
        <f>IF($G$14="vacant",IF(1&lt;Inputs!$C$9,0,IF(1=Inputs!$C$9,$D$14*Inputs!$C$6,$D$14*Inputs!$C$6*(1+Inputs!$C$8)^(1-Inputs!$C$9))),IF(1&lt;($F$14-2025),$D$14*$E$14*(1+Inputs!$C$8)^(1-1),IF(1=($F$14-2025),$D$14*MAX(($E$14*(1+Inputs!$C$8)^(1-1)),(Inputs!$C$6*(1+Inputs!$C$8)^(1-1)))*Inputs!$C$31,$D$14*MAX(($E$14*(1+Inputs!$C$8)^(($F$14-2025)-1)),(Inputs!$C$6*(1+Inputs!$C$8)^(($F$14-2025)-1)))*(1+Inputs!$C$8)^(1-($F$14-2025)))))</f>
        <v/>
      </c>
      <c r="I14" s="18">
        <f>IF($G$14="vacant",IF(2&lt;Inputs!$C$9,0,IF(2=Inputs!$C$9,$D$14*Inputs!$C$6,$D$14*Inputs!$C$6*(1+Inputs!$C$8)^(2-Inputs!$C$9))),IF(2&lt;($F$14-2025),$D$14*$E$14*(1+Inputs!$C$8)^(2-1),IF(2=($F$14-2025),$D$14*MAX(($E$14*(1+Inputs!$C$8)^(2-1)),(Inputs!$C$6*(1+Inputs!$C$8)^(2-1)))*Inputs!$C$31,$D$14*MAX(($E$14*(1+Inputs!$C$8)^(($F$14-2025)-1)),(Inputs!$C$6*(1+Inputs!$C$8)^(($F$14-2025)-1)))*(1+Inputs!$C$8)^(2-($F$14-2025)))))</f>
        <v/>
      </c>
      <c r="J14" s="18">
        <f>IF($G$14="vacant",IF(3&lt;Inputs!$C$9,0,IF(3=Inputs!$C$9,$D$14*Inputs!$C$6,$D$14*Inputs!$C$6*(1+Inputs!$C$8)^(3-Inputs!$C$9))),IF(3&lt;($F$14-2025),$D$14*$E$14*(1+Inputs!$C$8)^(3-1),IF(3=($F$14-2025),$D$14*MAX(($E$14*(1+Inputs!$C$8)^(3-1)),(Inputs!$C$6*(1+Inputs!$C$8)^(3-1)))*Inputs!$C$31,$D$14*MAX(($E$14*(1+Inputs!$C$8)^(($F$14-2025)-1)),(Inputs!$C$6*(1+Inputs!$C$8)^(($F$14-2025)-1)))*(1+Inputs!$C$8)^(3-($F$14-2025)))))</f>
        <v/>
      </c>
      <c r="K14" s="18">
        <f>IF($G$14="vacant",IF(4&lt;Inputs!$C$9,0,IF(4=Inputs!$C$9,$D$14*Inputs!$C$6,$D$14*Inputs!$C$6*(1+Inputs!$C$8)^(4-Inputs!$C$9))),IF(4&lt;($F$14-2025),$D$14*$E$14*(1+Inputs!$C$8)^(4-1),IF(4=($F$14-2025),$D$14*MAX(($E$14*(1+Inputs!$C$8)^(4-1)),(Inputs!$C$6*(1+Inputs!$C$8)^(4-1)))*Inputs!$C$31,$D$14*MAX(($E$14*(1+Inputs!$C$8)^(($F$14-2025)-1)),(Inputs!$C$6*(1+Inputs!$C$8)^(($F$14-2025)-1)))*(1+Inputs!$C$8)^(4-($F$14-2025)))))</f>
        <v/>
      </c>
      <c r="L14" s="18">
        <f>IF($G$14="vacant",IF(5&lt;Inputs!$C$9,0,IF(5=Inputs!$C$9,$D$14*Inputs!$C$6,$D$14*Inputs!$C$6*(1+Inputs!$C$8)^(5-Inputs!$C$9))),IF(5&lt;($F$14-2025),$D$14*$E$14*(1+Inputs!$C$8)^(5-1),IF(5=($F$14-2025),$D$14*MAX(($E$14*(1+Inputs!$C$8)^(5-1)),(Inputs!$C$6*(1+Inputs!$C$8)^(5-1)))*Inputs!$C$31,$D$14*MAX(($E$14*(1+Inputs!$C$8)^(($F$14-2025)-1)),(Inputs!$C$6*(1+Inputs!$C$8)^(($F$14-2025)-1)))*(1+Inputs!$C$8)^(5-($F$14-2025)))))</f>
        <v/>
      </c>
      <c r="M14" s="18">
        <f>IF($G$14="vacant",IF(6&lt;Inputs!$C$9,0,IF(6=Inputs!$C$9,$D$14*Inputs!$C$6,$D$14*Inputs!$C$6*(1+Inputs!$C$8)^(6-Inputs!$C$9))),IF(6&lt;($F$14-2025),$D$14*$E$14*(1+Inputs!$C$8)^(6-1),IF(6=($F$14-2025),$D$14*MAX(($E$14*(1+Inputs!$C$8)^(6-1)),(Inputs!$C$6*(1+Inputs!$C$8)^(6-1)))*Inputs!$C$31,$D$14*MAX(($E$14*(1+Inputs!$C$8)^(($F$14-2025)-1)),(Inputs!$C$6*(1+Inputs!$C$8)^(($F$14-2025)-1)))*(1+Inputs!$C$8)^(6-($F$14-2025)))))</f>
        <v/>
      </c>
      <c r="N14" s="18">
        <f>IF($G$14="vacant",IF(7&lt;Inputs!$C$9,0,IF(7=Inputs!$C$9,$D$14*Inputs!$C$6,$D$14*Inputs!$C$6*(1+Inputs!$C$8)^(7-Inputs!$C$9))),IF(7&lt;($F$14-2025),$D$14*$E$14*(1+Inputs!$C$8)^(7-1),IF(7=($F$14-2025),$D$14*MAX(($E$14*(1+Inputs!$C$8)^(7-1)),(Inputs!$C$6*(1+Inputs!$C$8)^(7-1)))*Inputs!$C$31,$D$14*MAX(($E$14*(1+Inputs!$C$8)^(($F$14-2025)-1)),(Inputs!$C$6*(1+Inputs!$C$8)^(($F$14-2025)-1)))*(1+Inputs!$C$8)^(7-($F$14-2025)))))</f>
        <v/>
      </c>
      <c r="O14" s="18">
        <f>IF($G$14="vacant",IF(8&lt;Inputs!$C$9,0,IF(8=Inputs!$C$9,$D$14*Inputs!$C$6,$D$14*Inputs!$C$6*(1+Inputs!$C$8)^(8-Inputs!$C$9))),IF(8&lt;($F$14-2025),$D$14*$E$14*(1+Inputs!$C$8)^(8-1),IF(8=($F$14-2025),$D$14*MAX(($E$14*(1+Inputs!$C$8)^(8-1)),(Inputs!$C$6*(1+Inputs!$C$8)^(8-1)))*Inputs!$C$31,$D$14*MAX(($E$14*(1+Inputs!$C$8)^(($F$14-2025)-1)),(Inputs!$C$6*(1+Inputs!$C$8)^(($F$14-2025)-1)))*(1+Inputs!$C$8)^(8-($F$14-2025)))))</f>
        <v/>
      </c>
      <c r="P14" s="18">
        <f>IF($G$14="vacant",IF(9&lt;Inputs!$C$9,0,IF(9=Inputs!$C$9,$D$14*Inputs!$C$6,$D$14*Inputs!$C$6*(1+Inputs!$C$8)^(9-Inputs!$C$9))),IF(9&lt;($F$14-2025),$D$14*$E$14*(1+Inputs!$C$8)^(9-1),IF(9=($F$14-2025),$D$14*MAX(($E$14*(1+Inputs!$C$8)^(9-1)),(Inputs!$C$6*(1+Inputs!$C$8)^(9-1)))*Inputs!$C$31,$D$14*MAX(($E$14*(1+Inputs!$C$8)^(($F$14-2025)-1)),(Inputs!$C$6*(1+Inputs!$C$8)^(($F$14-2025)-1)))*(1+Inputs!$C$8)^(9-($F$14-2025)))))</f>
        <v/>
      </c>
      <c r="Q14" s="18">
        <f>IF($G$14="vacant",IF(10&lt;Inputs!$C$9,0,IF(10=Inputs!$C$9,$D$14*Inputs!$C$6,$D$14*Inputs!$C$6*(1+Inputs!$C$8)^(10-Inputs!$C$9))),IF(10&lt;($F$14-2025),$D$14*$E$14*(1+Inputs!$C$8)^(10-1),IF(10=($F$14-2025),$D$14*MAX(($E$14*(1+Inputs!$C$8)^(10-1)),(Inputs!$C$6*(1+Inputs!$C$8)^(10-1)))*Inputs!$C$31,$D$14*MAX(($E$14*(1+Inputs!$C$8)^(($F$14-2025)-1)),(Inputs!$C$6*(1+Inputs!$C$8)^(($F$14-2025)-1)))*(1+Inputs!$C$8)^(10-($F$14-2025)))))</f>
        <v/>
      </c>
    </row>
    <row r="15">
      <c r="B15" t="inlineStr">
        <is>
          <t>260</t>
        </is>
      </c>
      <c r="C15" t="inlineStr">
        <is>
          <t>Vacant - Retail</t>
        </is>
      </c>
      <c r="D15" s="16">
        <f>'Rent Roll'!$E$15</f>
        <v/>
      </c>
      <c r="E15" s="17">
        <f>'Rent Roll'!$F$15</f>
        <v/>
      </c>
      <c r="F15">
        <f>'Rent Roll'!$G$15</f>
        <v/>
      </c>
      <c r="G15">
        <f>'Rent Roll'!$H$15</f>
        <v/>
      </c>
      <c r="H15" s="18">
        <f>IF($G$15="vacant",IF(1&lt;Inputs!$C$9,0,IF(1=Inputs!$C$9,$D$15*Inputs!$C$6,$D$15*Inputs!$C$6*(1+Inputs!$C$8)^(1-Inputs!$C$9))),IF(1&lt;($F$15-2025),$D$15*$E$15*(1+Inputs!$C$8)^(1-1),IF(1=($F$15-2025),$D$15*MAX(($E$15*(1+Inputs!$C$8)^(1-1)),(Inputs!$C$6*(1+Inputs!$C$8)^(1-1)))*Inputs!$C$31,$D$15*MAX(($E$15*(1+Inputs!$C$8)^(($F$15-2025)-1)),(Inputs!$C$6*(1+Inputs!$C$8)^(($F$15-2025)-1)))*(1+Inputs!$C$8)^(1-($F$15-2025)))))</f>
        <v/>
      </c>
      <c r="I15" s="18">
        <f>IF($G$15="vacant",IF(2&lt;Inputs!$C$9,0,IF(2=Inputs!$C$9,$D$15*Inputs!$C$6,$D$15*Inputs!$C$6*(1+Inputs!$C$8)^(2-Inputs!$C$9))),IF(2&lt;($F$15-2025),$D$15*$E$15*(1+Inputs!$C$8)^(2-1),IF(2=($F$15-2025),$D$15*MAX(($E$15*(1+Inputs!$C$8)^(2-1)),(Inputs!$C$6*(1+Inputs!$C$8)^(2-1)))*Inputs!$C$31,$D$15*MAX(($E$15*(1+Inputs!$C$8)^(($F$15-2025)-1)),(Inputs!$C$6*(1+Inputs!$C$8)^(($F$15-2025)-1)))*(1+Inputs!$C$8)^(2-($F$15-2025)))))</f>
        <v/>
      </c>
      <c r="J15" s="18">
        <f>IF($G$15="vacant",IF(3&lt;Inputs!$C$9,0,IF(3=Inputs!$C$9,$D$15*Inputs!$C$6,$D$15*Inputs!$C$6*(1+Inputs!$C$8)^(3-Inputs!$C$9))),IF(3&lt;($F$15-2025),$D$15*$E$15*(1+Inputs!$C$8)^(3-1),IF(3=($F$15-2025),$D$15*MAX(($E$15*(1+Inputs!$C$8)^(3-1)),(Inputs!$C$6*(1+Inputs!$C$8)^(3-1)))*Inputs!$C$31,$D$15*MAX(($E$15*(1+Inputs!$C$8)^(($F$15-2025)-1)),(Inputs!$C$6*(1+Inputs!$C$8)^(($F$15-2025)-1)))*(1+Inputs!$C$8)^(3-($F$15-2025)))))</f>
        <v/>
      </c>
      <c r="K15" s="18">
        <f>IF($G$15="vacant",IF(4&lt;Inputs!$C$9,0,IF(4=Inputs!$C$9,$D$15*Inputs!$C$6,$D$15*Inputs!$C$6*(1+Inputs!$C$8)^(4-Inputs!$C$9))),IF(4&lt;($F$15-2025),$D$15*$E$15*(1+Inputs!$C$8)^(4-1),IF(4=($F$15-2025),$D$15*MAX(($E$15*(1+Inputs!$C$8)^(4-1)),(Inputs!$C$6*(1+Inputs!$C$8)^(4-1)))*Inputs!$C$31,$D$15*MAX(($E$15*(1+Inputs!$C$8)^(($F$15-2025)-1)),(Inputs!$C$6*(1+Inputs!$C$8)^(($F$15-2025)-1)))*(1+Inputs!$C$8)^(4-($F$15-2025)))))</f>
        <v/>
      </c>
      <c r="L15" s="18">
        <f>IF($G$15="vacant",IF(5&lt;Inputs!$C$9,0,IF(5=Inputs!$C$9,$D$15*Inputs!$C$6,$D$15*Inputs!$C$6*(1+Inputs!$C$8)^(5-Inputs!$C$9))),IF(5&lt;($F$15-2025),$D$15*$E$15*(1+Inputs!$C$8)^(5-1),IF(5=($F$15-2025),$D$15*MAX(($E$15*(1+Inputs!$C$8)^(5-1)),(Inputs!$C$6*(1+Inputs!$C$8)^(5-1)))*Inputs!$C$31,$D$15*MAX(($E$15*(1+Inputs!$C$8)^(($F$15-2025)-1)),(Inputs!$C$6*(1+Inputs!$C$8)^(($F$15-2025)-1)))*(1+Inputs!$C$8)^(5-($F$15-2025)))))</f>
        <v/>
      </c>
      <c r="M15" s="18">
        <f>IF($G$15="vacant",IF(6&lt;Inputs!$C$9,0,IF(6=Inputs!$C$9,$D$15*Inputs!$C$6,$D$15*Inputs!$C$6*(1+Inputs!$C$8)^(6-Inputs!$C$9))),IF(6&lt;($F$15-2025),$D$15*$E$15*(1+Inputs!$C$8)^(6-1),IF(6=($F$15-2025),$D$15*MAX(($E$15*(1+Inputs!$C$8)^(6-1)),(Inputs!$C$6*(1+Inputs!$C$8)^(6-1)))*Inputs!$C$31,$D$15*MAX(($E$15*(1+Inputs!$C$8)^(($F$15-2025)-1)),(Inputs!$C$6*(1+Inputs!$C$8)^(($F$15-2025)-1)))*(1+Inputs!$C$8)^(6-($F$15-2025)))))</f>
        <v/>
      </c>
      <c r="N15" s="18">
        <f>IF($G$15="vacant",IF(7&lt;Inputs!$C$9,0,IF(7=Inputs!$C$9,$D$15*Inputs!$C$6,$D$15*Inputs!$C$6*(1+Inputs!$C$8)^(7-Inputs!$C$9))),IF(7&lt;($F$15-2025),$D$15*$E$15*(1+Inputs!$C$8)^(7-1),IF(7=($F$15-2025),$D$15*MAX(($E$15*(1+Inputs!$C$8)^(7-1)),(Inputs!$C$6*(1+Inputs!$C$8)^(7-1)))*Inputs!$C$31,$D$15*MAX(($E$15*(1+Inputs!$C$8)^(($F$15-2025)-1)),(Inputs!$C$6*(1+Inputs!$C$8)^(($F$15-2025)-1)))*(1+Inputs!$C$8)^(7-($F$15-2025)))))</f>
        <v/>
      </c>
      <c r="O15" s="18">
        <f>IF($G$15="vacant",IF(8&lt;Inputs!$C$9,0,IF(8=Inputs!$C$9,$D$15*Inputs!$C$6,$D$15*Inputs!$C$6*(1+Inputs!$C$8)^(8-Inputs!$C$9))),IF(8&lt;($F$15-2025),$D$15*$E$15*(1+Inputs!$C$8)^(8-1),IF(8=($F$15-2025),$D$15*MAX(($E$15*(1+Inputs!$C$8)^(8-1)),(Inputs!$C$6*(1+Inputs!$C$8)^(8-1)))*Inputs!$C$31,$D$15*MAX(($E$15*(1+Inputs!$C$8)^(($F$15-2025)-1)),(Inputs!$C$6*(1+Inputs!$C$8)^(($F$15-2025)-1)))*(1+Inputs!$C$8)^(8-($F$15-2025)))))</f>
        <v/>
      </c>
      <c r="P15" s="18">
        <f>IF($G$15="vacant",IF(9&lt;Inputs!$C$9,0,IF(9=Inputs!$C$9,$D$15*Inputs!$C$6,$D$15*Inputs!$C$6*(1+Inputs!$C$8)^(9-Inputs!$C$9))),IF(9&lt;($F$15-2025),$D$15*$E$15*(1+Inputs!$C$8)^(9-1),IF(9=($F$15-2025),$D$15*MAX(($E$15*(1+Inputs!$C$8)^(9-1)),(Inputs!$C$6*(1+Inputs!$C$8)^(9-1)))*Inputs!$C$31,$D$15*MAX(($E$15*(1+Inputs!$C$8)^(($F$15-2025)-1)),(Inputs!$C$6*(1+Inputs!$C$8)^(($F$15-2025)-1)))*(1+Inputs!$C$8)^(9-($F$15-2025)))))</f>
        <v/>
      </c>
      <c r="Q15" s="18">
        <f>IF($G$15="vacant",IF(10&lt;Inputs!$C$9,0,IF(10=Inputs!$C$9,$D$15*Inputs!$C$6,$D$15*Inputs!$C$6*(1+Inputs!$C$8)^(10-Inputs!$C$9))),IF(10&lt;($F$15-2025),$D$15*$E$15*(1+Inputs!$C$8)^(10-1),IF(10=($F$15-2025),$D$15*MAX(($E$15*(1+Inputs!$C$8)^(10-1)),(Inputs!$C$6*(1+Inputs!$C$8)^(10-1)))*Inputs!$C$31,$D$15*MAX(($E$15*(1+Inputs!$C$8)^(($F$15-2025)-1)),(Inputs!$C$6*(1+Inputs!$C$8)^(($F$15-2025)-1)))*(1+Inputs!$C$8)^(10-($F$15-2025)))))</f>
        <v/>
      </c>
    </row>
    <row r="16">
      <c r="B16" t="inlineStr">
        <is>
          <t>225</t>
        </is>
      </c>
      <c r="C16" t="inlineStr">
        <is>
          <t>Amazing Lash Studio</t>
        </is>
      </c>
      <c r="D16" s="16">
        <f>'Rent Roll'!$E$16</f>
        <v/>
      </c>
      <c r="E16" s="17">
        <f>'Rent Roll'!$F$16</f>
        <v/>
      </c>
      <c r="F16">
        <f>'Rent Roll'!$G$16</f>
        <v/>
      </c>
      <c r="G16">
        <f>'Rent Roll'!$H$16</f>
        <v/>
      </c>
      <c r="H16" s="18">
        <f>IF($G$16="vacant",IF(1&lt;Inputs!$C$9,0,IF(1=Inputs!$C$9,$D$16*Inputs!$C$6,$D$16*Inputs!$C$6*(1+Inputs!$C$8)^(1-Inputs!$C$9))),IF(1&lt;($F$16-2025),$D$16*$E$16*(1+Inputs!$C$8)^(1-1),IF(1=($F$16-2025),$D$16*MAX(($E$16*(1+Inputs!$C$8)^(1-1)),(Inputs!$C$6*(1+Inputs!$C$8)^(1-1)))*Inputs!$C$31,$D$16*MAX(($E$16*(1+Inputs!$C$8)^(($F$16-2025)-1)),(Inputs!$C$6*(1+Inputs!$C$8)^(($F$16-2025)-1)))*(1+Inputs!$C$8)^(1-($F$16-2025)))))</f>
        <v/>
      </c>
      <c r="I16" s="18">
        <f>IF($G$16="vacant",IF(2&lt;Inputs!$C$9,0,IF(2=Inputs!$C$9,$D$16*Inputs!$C$6,$D$16*Inputs!$C$6*(1+Inputs!$C$8)^(2-Inputs!$C$9))),IF(2&lt;($F$16-2025),$D$16*$E$16*(1+Inputs!$C$8)^(2-1),IF(2=($F$16-2025),$D$16*MAX(($E$16*(1+Inputs!$C$8)^(2-1)),(Inputs!$C$6*(1+Inputs!$C$8)^(2-1)))*Inputs!$C$31,$D$16*MAX(($E$16*(1+Inputs!$C$8)^(($F$16-2025)-1)),(Inputs!$C$6*(1+Inputs!$C$8)^(($F$16-2025)-1)))*(1+Inputs!$C$8)^(2-($F$16-2025)))))</f>
        <v/>
      </c>
      <c r="J16" s="18">
        <f>IF($G$16="vacant",IF(3&lt;Inputs!$C$9,0,IF(3=Inputs!$C$9,$D$16*Inputs!$C$6,$D$16*Inputs!$C$6*(1+Inputs!$C$8)^(3-Inputs!$C$9))),IF(3&lt;($F$16-2025),$D$16*$E$16*(1+Inputs!$C$8)^(3-1),IF(3=($F$16-2025),$D$16*MAX(($E$16*(1+Inputs!$C$8)^(3-1)),(Inputs!$C$6*(1+Inputs!$C$8)^(3-1)))*Inputs!$C$31,$D$16*MAX(($E$16*(1+Inputs!$C$8)^(($F$16-2025)-1)),(Inputs!$C$6*(1+Inputs!$C$8)^(($F$16-2025)-1)))*(1+Inputs!$C$8)^(3-($F$16-2025)))))</f>
        <v/>
      </c>
      <c r="K16" s="18">
        <f>IF($G$16="vacant",IF(4&lt;Inputs!$C$9,0,IF(4=Inputs!$C$9,$D$16*Inputs!$C$6,$D$16*Inputs!$C$6*(1+Inputs!$C$8)^(4-Inputs!$C$9))),IF(4&lt;($F$16-2025),$D$16*$E$16*(1+Inputs!$C$8)^(4-1),IF(4=($F$16-2025),$D$16*MAX(($E$16*(1+Inputs!$C$8)^(4-1)),(Inputs!$C$6*(1+Inputs!$C$8)^(4-1)))*Inputs!$C$31,$D$16*MAX(($E$16*(1+Inputs!$C$8)^(($F$16-2025)-1)),(Inputs!$C$6*(1+Inputs!$C$8)^(($F$16-2025)-1)))*(1+Inputs!$C$8)^(4-($F$16-2025)))))</f>
        <v/>
      </c>
      <c r="L16" s="18">
        <f>IF($G$16="vacant",IF(5&lt;Inputs!$C$9,0,IF(5=Inputs!$C$9,$D$16*Inputs!$C$6,$D$16*Inputs!$C$6*(1+Inputs!$C$8)^(5-Inputs!$C$9))),IF(5&lt;($F$16-2025),$D$16*$E$16*(1+Inputs!$C$8)^(5-1),IF(5=($F$16-2025),$D$16*MAX(($E$16*(1+Inputs!$C$8)^(5-1)),(Inputs!$C$6*(1+Inputs!$C$8)^(5-1)))*Inputs!$C$31,$D$16*MAX(($E$16*(1+Inputs!$C$8)^(($F$16-2025)-1)),(Inputs!$C$6*(1+Inputs!$C$8)^(($F$16-2025)-1)))*(1+Inputs!$C$8)^(5-($F$16-2025)))))</f>
        <v/>
      </c>
      <c r="M16" s="18">
        <f>IF($G$16="vacant",IF(6&lt;Inputs!$C$9,0,IF(6=Inputs!$C$9,$D$16*Inputs!$C$6,$D$16*Inputs!$C$6*(1+Inputs!$C$8)^(6-Inputs!$C$9))),IF(6&lt;($F$16-2025),$D$16*$E$16*(1+Inputs!$C$8)^(6-1),IF(6=($F$16-2025),$D$16*MAX(($E$16*(1+Inputs!$C$8)^(6-1)),(Inputs!$C$6*(1+Inputs!$C$8)^(6-1)))*Inputs!$C$31,$D$16*MAX(($E$16*(1+Inputs!$C$8)^(($F$16-2025)-1)),(Inputs!$C$6*(1+Inputs!$C$8)^(($F$16-2025)-1)))*(1+Inputs!$C$8)^(6-($F$16-2025)))))</f>
        <v/>
      </c>
      <c r="N16" s="18">
        <f>IF($G$16="vacant",IF(7&lt;Inputs!$C$9,0,IF(7=Inputs!$C$9,$D$16*Inputs!$C$6,$D$16*Inputs!$C$6*(1+Inputs!$C$8)^(7-Inputs!$C$9))),IF(7&lt;($F$16-2025),$D$16*$E$16*(1+Inputs!$C$8)^(7-1),IF(7=($F$16-2025),$D$16*MAX(($E$16*(1+Inputs!$C$8)^(7-1)),(Inputs!$C$6*(1+Inputs!$C$8)^(7-1)))*Inputs!$C$31,$D$16*MAX(($E$16*(1+Inputs!$C$8)^(($F$16-2025)-1)),(Inputs!$C$6*(1+Inputs!$C$8)^(($F$16-2025)-1)))*(1+Inputs!$C$8)^(7-($F$16-2025)))))</f>
        <v/>
      </c>
      <c r="O16" s="18">
        <f>IF($G$16="vacant",IF(8&lt;Inputs!$C$9,0,IF(8=Inputs!$C$9,$D$16*Inputs!$C$6,$D$16*Inputs!$C$6*(1+Inputs!$C$8)^(8-Inputs!$C$9))),IF(8&lt;($F$16-2025),$D$16*$E$16*(1+Inputs!$C$8)^(8-1),IF(8=($F$16-2025),$D$16*MAX(($E$16*(1+Inputs!$C$8)^(8-1)),(Inputs!$C$6*(1+Inputs!$C$8)^(8-1)))*Inputs!$C$31,$D$16*MAX(($E$16*(1+Inputs!$C$8)^(($F$16-2025)-1)),(Inputs!$C$6*(1+Inputs!$C$8)^(($F$16-2025)-1)))*(1+Inputs!$C$8)^(8-($F$16-2025)))))</f>
        <v/>
      </c>
      <c r="P16" s="18">
        <f>IF($G$16="vacant",IF(9&lt;Inputs!$C$9,0,IF(9=Inputs!$C$9,$D$16*Inputs!$C$6,$D$16*Inputs!$C$6*(1+Inputs!$C$8)^(9-Inputs!$C$9))),IF(9&lt;($F$16-2025),$D$16*$E$16*(1+Inputs!$C$8)^(9-1),IF(9=($F$16-2025),$D$16*MAX(($E$16*(1+Inputs!$C$8)^(9-1)),(Inputs!$C$6*(1+Inputs!$C$8)^(9-1)))*Inputs!$C$31,$D$16*MAX(($E$16*(1+Inputs!$C$8)^(($F$16-2025)-1)),(Inputs!$C$6*(1+Inputs!$C$8)^(($F$16-2025)-1)))*(1+Inputs!$C$8)^(9-($F$16-2025)))))</f>
        <v/>
      </c>
      <c r="Q16" s="18">
        <f>IF($G$16="vacant",IF(10&lt;Inputs!$C$9,0,IF(10=Inputs!$C$9,$D$16*Inputs!$C$6,$D$16*Inputs!$C$6*(1+Inputs!$C$8)^(10-Inputs!$C$9))),IF(10&lt;($F$16-2025),$D$16*$E$16*(1+Inputs!$C$8)^(10-1),IF(10=($F$16-2025),$D$16*MAX(($E$16*(1+Inputs!$C$8)^(10-1)),(Inputs!$C$6*(1+Inputs!$C$8)^(10-1)))*Inputs!$C$31,$D$16*MAX(($E$16*(1+Inputs!$C$8)^(($F$16-2025)-1)),(Inputs!$C$6*(1+Inputs!$C$8)^(($F$16-2025)-1)))*(1+Inputs!$C$8)^(10-($F$16-2025)))))</f>
        <v/>
      </c>
    </row>
    <row r="17">
      <c r="B17" t="inlineStr">
        <is>
          <t>230</t>
        </is>
      </c>
      <c r="C17" t="inlineStr">
        <is>
          <t>Amerejuve Medspa</t>
        </is>
      </c>
      <c r="D17" s="16">
        <f>'Rent Roll'!$E$17</f>
        <v/>
      </c>
      <c r="E17" s="17">
        <f>'Rent Roll'!$F$17</f>
        <v/>
      </c>
      <c r="F17">
        <f>'Rent Roll'!$G$17</f>
        <v/>
      </c>
      <c r="G17">
        <f>'Rent Roll'!$H$17</f>
        <v/>
      </c>
      <c r="H17" s="18">
        <f>IF($G$17="vacant",IF(1&lt;Inputs!$C$9,0,IF(1=Inputs!$C$9,$D$17*Inputs!$C$6,$D$17*Inputs!$C$6*(1+Inputs!$C$8)^(1-Inputs!$C$9))),IF(1&lt;($F$17-2025),$D$17*$E$17*(1+Inputs!$C$8)^(1-1),IF(1=($F$17-2025),$D$17*MAX(($E$17*(1+Inputs!$C$8)^(1-1)),(Inputs!$C$6*(1+Inputs!$C$8)^(1-1)))*Inputs!$C$31,$D$17*MAX(($E$17*(1+Inputs!$C$8)^(($F$17-2025)-1)),(Inputs!$C$6*(1+Inputs!$C$8)^(($F$17-2025)-1)))*(1+Inputs!$C$8)^(1-($F$17-2025)))))</f>
        <v/>
      </c>
      <c r="I17" s="18">
        <f>IF($G$17="vacant",IF(2&lt;Inputs!$C$9,0,IF(2=Inputs!$C$9,$D$17*Inputs!$C$6,$D$17*Inputs!$C$6*(1+Inputs!$C$8)^(2-Inputs!$C$9))),IF(2&lt;($F$17-2025),$D$17*$E$17*(1+Inputs!$C$8)^(2-1),IF(2=($F$17-2025),$D$17*MAX(($E$17*(1+Inputs!$C$8)^(2-1)),(Inputs!$C$6*(1+Inputs!$C$8)^(2-1)))*Inputs!$C$31,$D$17*MAX(($E$17*(1+Inputs!$C$8)^(($F$17-2025)-1)),(Inputs!$C$6*(1+Inputs!$C$8)^(($F$17-2025)-1)))*(1+Inputs!$C$8)^(2-($F$17-2025)))))</f>
        <v/>
      </c>
      <c r="J17" s="18">
        <f>IF($G$17="vacant",IF(3&lt;Inputs!$C$9,0,IF(3=Inputs!$C$9,$D$17*Inputs!$C$6,$D$17*Inputs!$C$6*(1+Inputs!$C$8)^(3-Inputs!$C$9))),IF(3&lt;($F$17-2025),$D$17*$E$17*(1+Inputs!$C$8)^(3-1),IF(3=($F$17-2025),$D$17*MAX(($E$17*(1+Inputs!$C$8)^(3-1)),(Inputs!$C$6*(1+Inputs!$C$8)^(3-1)))*Inputs!$C$31,$D$17*MAX(($E$17*(1+Inputs!$C$8)^(($F$17-2025)-1)),(Inputs!$C$6*(1+Inputs!$C$8)^(($F$17-2025)-1)))*(1+Inputs!$C$8)^(3-($F$17-2025)))))</f>
        <v/>
      </c>
      <c r="K17" s="18">
        <f>IF($G$17="vacant",IF(4&lt;Inputs!$C$9,0,IF(4=Inputs!$C$9,$D$17*Inputs!$C$6,$D$17*Inputs!$C$6*(1+Inputs!$C$8)^(4-Inputs!$C$9))),IF(4&lt;($F$17-2025),$D$17*$E$17*(1+Inputs!$C$8)^(4-1),IF(4=($F$17-2025),$D$17*MAX(($E$17*(1+Inputs!$C$8)^(4-1)),(Inputs!$C$6*(1+Inputs!$C$8)^(4-1)))*Inputs!$C$31,$D$17*MAX(($E$17*(1+Inputs!$C$8)^(($F$17-2025)-1)),(Inputs!$C$6*(1+Inputs!$C$8)^(($F$17-2025)-1)))*(1+Inputs!$C$8)^(4-($F$17-2025)))))</f>
        <v/>
      </c>
      <c r="L17" s="18">
        <f>IF($G$17="vacant",IF(5&lt;Inputs!$C$9,0,IF(5=Inputs!$C$9,$D$17*Inputs!$C$6,$D$17*Inputs!$C$6*(1+Inputs!$C$8)^(5-Inputs!$C$9))),IF(5&lt;($F$17-2025),$D$17*$E$17*(1+Inputs!$C$8)^(5-1),IF(5=($F$17-2025),$D$17*MAX(($E$17*(1+Inputs!$C$8)^(5-1)),(Inputs!$C$6*(1+Inputs!$C$8)^(5-1)))*Inputs!$C$31,$D$17*MAX(($E$17*(1+Inputs!$C$8)^(($F$17-2025)-1)),(Inputs!$C$6*(1+Inputs!$C$8)^(($F$17-2025)-1)))*(1+Inputs!$C$8)^(5-($F$17-2025)))))</f>
        <v/>
      </c>
      <c r="M17" s="18">
        <f>IF($G$17="vacant",IF(6&lt;Inputs!$C$9,0,IF(6=Inputs!$C$9,$D$17*Inputs!$C$6,$D$17*Inputs!$C$6*(1+Inputs!$C$8)^(6-Inputs!$C$9))),IF(6&lt;($F$17-2025),$D$17*$E$17*(1+Inputs!$C$8)^(6-1),IF(6=($F$17-2025),$D$17*MAX(($E$17*(1+Inputs!$C$8)^(6-1)),(Inputs!$C$6*(1+Inputs!$C$8)^(6-1)))*Inputs!$C$31,$D$17*MAX(($E$17*(1+Inputs!$C$8)^(($F$17-2025)-1)),(Inputs!$C$6*(1+Inputs!$C$8)^(($F$17-2025)-1)))*(1+Inputs!$C$8)^(6-($F$17-2025)))))</f>
        <v/>
      </c>
      <c r="N17" s="18">
        <f>IF($G$17="vacant",IF(7&lt;Inputs!$C$9,0,IF(7=Inputs!$C$9,$D$17*Inputs!$C$6,$D$17*Inputs!$C$6*(1+Inputs!$C$8)^(7-Inputs!$C$9))),IF(7&lt;($F$17-2025),$D$17*$E$17*(1+Inputs!$C$8)^(7-1),IF(7=($F$17-2025),$D$17*MAX(($E$17*(1+Inputs!$C$8)^(7-1)),(Inputs!$C$6*(1+Inputs!$C$8)^(7-1)))*Inputs!$C$31,$D$17*MAX(($E$17*(1+Inputs!$C$8)^(($F$17-2025)-1)),(Inputs!$C$6*(1+Inputs!$C$8)^(($F$17-2025)-1)))*(1+Inputs!$C$8)^(7-($F$17-2025)))))</f>
        <v/>
      </c>
      <c r="O17" s="18">
        <f>IF($G$17="vacant",IF(8&lt;Inputs!$C$9,0,IF(8=Inputs!$C$9,$D$17*Inputs!$C$6,$D$17*Inputs!$C$6*(1+Inputs!$C$8)^(8-Inputs!$C$9))),IF(8&lt;($F$17-2025),$D$17*$E$17*(1+Inputs!$C$8)^(8-1),IF(8=($F$17-2025),$D$17*MAX(($E$17*(1+Inputs!$C$8)^(8-1)),(Inputs!$C$6*(1+Inputs!$C$8)^(8-1)))*Inputs!$C$31,$D$17*MAX(($E$17*(1+Inputs!$C$8)^(($F$17-2025)-1)),(Inputs!$C$6*(1+Inputs!$C$8)^(($F$17-2025)-1)))*(1+Inputs!$C$8)^(8-($F$17-2025)))))</f>
        <v/>
      </c>
      <c r="P17" s="18">
        <f>IF($G$17="vacant",IF(9&lt;Inputs!$C$9,0,IF(9=Inputs!$C$9,$D$17*Inputs!$C$6,$D$17*Inputs!$C$6*(1+Inputs!$C$8)^(9-Inputs!$C$9))),IF(9&lt;($F$17-2025),$D$17*$E$17*(1+Inputs!$C$8)^(9-1),IF(9=($F$17-2025),$D$17*MAX(($E$17*(1+Inputs!$C$8)^(9-1)),(Inputs!$C$6*(1+Inputs!$C$8)^(9-1)))*Inputs!$C$31,$D$17*MAX(($E$17*(1+Inputs!$C$8)^(($F$17-2025)-1)),(Inputs!$C$6*(1+Inputs!$C$8)^(($F$17-2025)-1)))*(1+Inputs!$C$8)^(9-($F$17-2025)))))</f>
        <v/>
      </c>
      <c r="Q17" s="18">
        <f>IF($G$17="vacant",IF(10&lt;Inputs!$C$9,0,IF(10=Inputs!$C$9,$D$17*Inputs!$C$6,$D$17*Inputs!$C$6*(1+Inputs!$C$8)^(10-Inputs!$C$9))),IF(10&lt;($F$17-2025),$D$17*$E$17*(1+Inputs!$C$8)^(10-1),IF(10=($F$17-2025),$D$17*MAX(($E$17*(1+Inputs!$C$8)^(10-1)),(Inputs!$C$6*(1+Inputs!$C$8)^(10-1)))*Inputs!$C$31,$D$17*MAX(($E$17*(1+Inputs!$C$8)^(($F$17-2025)-1)),(Inputs!$C$6*(1+Inputs!$C$8)^(($F$17-2025)-1)))*(1+Inputs!$C$8)^(10-($F$17-2025)))))</f>
        <v/>
      </c>
    </row>
    <row r="18">
      <c r="B18" t="inlineStr">
        <is>
          <t>115</t>
        </is>
      </c>
      <c r="C18" t="inlineStr">
        <is>
          <t>Clara Rose Boutique</t>
        </is>
      </c>
      <c r="D18" s="16">
        <f>'Rent Roll'!$E$18</f>
        <v/>
      </c>
      <c r="E18" s="17">
        <f>'Rent Roll'!$F$18</f>
        <v/>
      </c>
      <c r="F18">
        <f>'Rent Roll'!$G$18</f>
        <v/>
      </c>
      <c r="G18">
        <f>'Rent Roll'!$H$18</f>
        <v/>
      </c>
      <c r="H18" s="18">
        <f>IF($G$18="vacant",IF(1&lt;Inputs!$C$9,0,IF(1=Inputs!$C$9,$D$18*Inputs!$C$6,$D$18*Inputs!$C$6*(1+Inputs!$C$8)^(1-Inputs!$C$9))),IF(1&lt;($F$18-2025),$D$18*$E$18*(1+Inputs!$C$8)^(1-1),IF(1=($F$18-2025),$D$18*MAX(($E$18*(1+Inputs!$C$8)^(1-1)),(Inputs!$C$6*(1+Inputs!$C$8)^(1-1)))*Inputs!$C$31,$D$18*MAX(($E$18*(1+Inputs!$C$8)^(($F$18-2025)-1)),(Inputs!$C$6*(1+Inputs!$C$8)^(($F$18-2025)-1)))*(1+Inputs!$C$8)^(1-($F$18-2025)))))</f>
        <v/>
      </c>
      <c r="I18" s="18">
        <f>IF($G$18="vacant",IF(2&lt;Inputs!$C$9,0,IF(2=Inputs!$C$9,$D$18*Inputs!$C$6,$D$18*Inputs!$C$6*(1+Inputs!$C$8)^(2-Inputs!$C$9))),IF(2&lt;($F$18-2025),$D$18*$E$18*(1+Inputs!$C$8)^(2-1),IF(2=($F$18-2025),$D$18*MAX(($E$18*(1+Inputs!$C$8)^(2-1)),(Inputs!$C$6*(1+Inputs!$C$8)^(2-1)))*Inputs!$C$31,$D$18*MAX(($E$18*(1+Inputs!$C$8)^(($F$18-2025)-1)),(Inputs!$C$6*(1+Inputs!$C$8)^(($F$18-2025)-1)))*(1+Inputs!$C$8)^(2-($F$18-2025)))))</f>
        <v/>
      </c>
      <c r="J18" s="18">
        <f>IF($G$18="vacant",IF(3&lt;Inputs!$C$9,0,IF(3=Inputs!$C$9,$D$18*Inputs!$C$6,$D$18*Inputs!$C$6*(1+Inputs!$C$8)^(3-Inputs!$C$9))),IF(3&lt;($F$18-2025),$D$18*$E$18*(1+Inputs!$C$8)^(3-1),IF(3=($F$18-2025),$D$18*MAX(($E$18*(1+Inputs!$C$8)^(3-1)),(Inputs!$C$6*(1+Inputs!$C$8)^(3-1)))*Inputs!$C$31,$D$18*MAX(($E$18*(1+Inputs!$C$8)^(($F$18-2025)-1)),(Inputs!$C$6*(1+Inputs!$C$8)^(($F$18-2025)-1)))*(1+Inputs!$C$8)^(3-($F$18-2025)))))</f>
        <v/>
      </c>
      <c r="K18" s="18">
        <f>IF($G$18="vacant",IF(4&lt;Inputs!$C$9,0,IF(4=Inputs!$C$9,$D$18*Inputs!$C$6,$D$18*Inputs!$C$6*(1+Inputs!$C$8)^(4-Inputs!$C$9))),IF(4&lt;($F$18-2025),$D$18*$E$18*(1+Inputs!$C$8)^(4-1),IF(4=($F$18-2025),$D$18*MAX(($E$18*(1+Inputs!$C$8)^(4-1)),(Inputs!$C$6*(1+Inputs!$C$8)^(4-1)))*Inputs!$C$31,$D$18*MAX(($E$18*(1+Inputs!$C$8)^(($F$18-2025)-1)),(Inputs!$C$6*(1+Inputs!$C$8)^(($F$18-2025)-1)))*(1+Inputs!$C$8)^(4-($F$18-2025)))))</f>
        <v/>
      </c>
      <c r="L18" s="18">
        <f>IF($G$18="vacant",IF(5&lt;Inputs!$C$9,0,IF(5=Inputs!$C$9,$D$18*Inputs!$C$6,$D$18*Inputs!$C$6*(1+Inputs!$C$8)^(5-Inputs!$C$9))),IF(5&lt;($F$18-2025),$D$18*$E$18*(1+Inputs!$C$8)^(5-1),IF(5=($F$18-2025),$D$18*MAX(($E$18*(1+Inputs!$C$8)^(5-1)),(Inputs!$C$6*(1+Inputs!$C$8)^(5-1)))*Inputs!$C$31,$D$18*MAX(($E$18*(1+Inputs!$C$8)^(($F$18-2025)-1)),(Inputs!$C$6*(1+Inputs!$C$8)^(($F$18-2025)-1)))*(1+Inputs!$C$8)^(5-($F$18-2025)))))</f>
        <v/>
      </c>
      <c r="M18" s="18">
        <f>IF($G$18="vacant",IF(6&lt;Inputs!$C$9,0,IF(6=Inputs!$C$9,$D$18*Inputs!$C$6,$D$18*Inputs!$C$6*(1+Inputs!$C$8)^(6-Inputs!$C$9))),IF(6&lt;($F$18-2025),$D$18*$E$18*(1+Inputs!$C$8)^(6-1),IF(6=($F$18-2025),$D$18*MAX(($E$18*(1+Inputs!$C$8)^(6-1)),(Inputs!$C$6*(1+Inputs!$C$8)^(6-1)))*Inputs!$C$31,$D$18*MAX(($E$18*(1+Inputs!$C$8)^(($F$18-2025)-1)),(Inputs!$C$6*(1+Inputs!$C$8)^(($F$18-2025)-1)))*(1+Inputs!$C$8)^(6-($F$18-2025)))))</f>
        <v/>
      </c>
      <c r="N18" s="18">
        <f>IF($G$18="vacant",IF(7&lt;Inputs!$C$9,0,IF(7=Inputs!$C$9,$D$18*Inputs!$C$6,$D$18*Inputs!$C$6*(1+Inputs!$C$8)^(7-Inputs!$C$9))),IF(7&lt;($F$18-2025),$D$18*$E$18*(1+Inputs!$C$8)^(7-1),IF(7=($F$18-2025),$D$18*MAX(($E$18*(1+Inputs!$C$8)^(7-1)),(Inputs!$C$6*(1+Inputs!$C$8)^(7-1)))*Inputs!$C$31,$D$18*MAX(($E$18*(1+Inputs!$C$8)^(($F$18-2025)-1)),(Inputs!$C$6*(1+Inputs!$C$8)^(($F$18-2025)-1)))*(1+Inputs!$C$8)^(7-($F$18-2025)))))</f>
        <v/>
      </c>
      <c r="O18" s="18">
        <f>IF($G$18="vacant",IF(8&lt;Inputs!$C$9,0,IF(8=Inputs!$C$9,$D$18*Inputs!$C$6,$D$18*Inputs!$C$6*(1+Inputs!$C$8)^(8-Inputs!$C$9))),IF(8&lt;($F$18-2025),$D$18*$E$18*(1+Inputs!$C$8)^(8-1),IF(8=($F$18-2025),$D$18*MAX(($E$18*(1+Inputs!$C$8)^(8-1)),(Inputs!$C$6*(1+Inputs!$C$8)^(8-1)))*Inputs!$C$31,$D$18*MAX(($E$18*(1+Inputs!$C$8)^(($F$18-2025)-1)),(Inputs!$C$6*(1+Inputs!$C$8)^(($F$18-2025)-1)))*(1+Inputs!$C$8)^(8-($F$18-2025)))))</f>
        <v/>
      </c>
      <c r="P18" s="18">
        <f>IF($G$18="vacant",IF(9&lt;Inputs!$C$9,0,IF(9=Inputs!$C$9,$D$18*Inputs!$C$6,$D$18*Inputs!$C$6*(1+Inputs!$C$8)^(9-Inputs!$C$9))),IF(9&lt;($F$18-2025),$D$18*$E$18*(1+Inputs!$C$8)^(9-1),IF(9=($F$18-2025),$D$18*MAX(($E$18*(1+Inputs!$C$8)^(9-1)),(Inputs!$C$6*(1+Inputs!$C$8)^(9-1)))*Inputs!$C$31,$D$18*MAX(($E$18*(1+Inputs!$C$8)^(($F$18-2025)-1)),(Inputs!$C$6*(1+Inputs!$C$8)^(($F$18-2025)-1)))*(1+Inputs!$C$8)^(9-($F$18-2025)))))</f>
        <v/>
      </c>
      <c r="Q18" s="18">
        <f>IF($G$18="vacant",IF(10&lt;Inputs!$C$9,0,IF(10=Inputs!$C$9,$D$18*Inputs!$C$6,$D$18*Inputs!$C$6*(1+Inputs!$C$8)^(10-Inputs!$C$9))),IF(10&lt;($F$18-2025),$D$18*$E$18*(1+Inputs!$C$8)^(10-1),IF(10=($F$18-2025),$D$18*MAX(($E$18*(1+Inputs!$C$8)^(10-1)),(Inputs!$C$6*(1+Inputs!$C$8)^(10-1)))*Inputs!$C$31,$D$18*MAX(($E$18*(1+Inputs!$C$8)^(($F$18-2025)-1)),(Inputs!$C$6*(1+Inputs!$C$8)^(($F$18-2025)-1)))*(1+Inputs!$C$8)^(10-($F$18-2025)))))</f>
        <v/>
      </c>
    </row>
    <row r="19">
      <c r="B19" t="inlineStr">
        <is>
          <t>130</t>
        </is>
      </c>
      <c r="C19" t="inlineStr">
        <is>
          <t>Ozone Bar</t>
        </is>
      </c>
      <c r="D19" s="16">
        <f>'Rent Roll'!$E$19</f>
        <v/>
      </c>
      <c r="E19" s="17">
        <f>'Rent Roll'!$F$19</f>
        <v/>
      </c>
      <c r="F19">
        <f>'Rent Roll'!$G$19</f>
        <v/>
      </c>
      <c r="G19">
        <f>'Rent Roll'!$H$19</f>
        <v/>
      </c>
      <c r="H19" s="18">
        <f>IF($G$19="vacant",IF(1&lt;Inputs!$C$9,0,IF(1=Inputs!$C$9,$D$19*Inputs!$C$6,$D$19*Inputs!$C$6*(1+Inputs!$C$8)^(1-Inputs!$C$9))),IF(1&lt;($F$19-2025),$D$19*$E$19*(1+Inputs!$C$8)^(1-1),IF(1=($F$19-2025),$D$19*MAX(($E$19*(1+Inputs!$C$8)^(1-1)),(Inputs!$C$6*(1+Inputs!$C$8)^(1-1)))*Inputs!$C$31,$D$19*MAX(($E$19*(1+Inputs!$C$8)^(($F$19-2025)-1)),(Inputs!$C$6*(1+Inputs!$C$8)^(($F$19-2025)-1)))*(1+Inputs!$C$8)^(1-($F$19-2025)))))</f>
        <v/>
      </c>
      <c r="I19" s="18">
        <f>IF($G$19="vacant",IF(2&lt;Inputs!$C$9,0,IF(2=Inputs!$C$9,$D$19*Inputs!$C$6,$D$19*Inputs!$C$6*(1+Inputs!$C$8)^(2-Inputs!$C$9))),IF(2&lt;($F$19-2025),$D$19*$E$19*(1+Inputs!$C$8)^(2-1),IF(2=($F$19-2025),$D$19*MAX(($E$19*(1+Inputs!$C$8)^(2-1)),(Inputs!$C$6*(1+Inputs!$C$8)^(2-1)))*Inputs!$C$31,$D$19*MAX(($E$19*(1+Inputs!$C$8)^(($F$19-2025)-1)),(Inputs!$C$6*(1+Inputs!$C$8)^(($F$19-2025)-1)))*(1+Inputs!$C$8)^(2-($F$19-2025)))))</f>
        <v/>
      </c>
      <c r="J19" s="18">
        <f>IF($G$19="vacant",IF(3&lt;Inputs!$C$9,0,IF(3=Inputs!$C$9,$D$19*Inputs!$C$6,$D$19*Inputs!$C$6*(1+Inputs!$C$8)^(3-Inputs!$C$9))),IF(3&lt;($F$19-2025),$D$19*$E$19*(1+Inputs!$C$8)^(3-1),IF(3=($F$19-2025),$D$19*MAX(($E$19*(1+Inputs!$C$8)^(3-1)),(Inputs!$C$6*(1+Inputs!$C$8)^(3-1)))*Inputs!$C$31,$D$19*MAX(($E$19*(1+Inputs!$C$8)^(($F$19-2025)-1)),(Inputs!$C$6*(1+Inputs!$C$8)^(($F$19-2025)-1)))*(1+Inputs!$C$8)^(3-($F$19-2025)))))</f>
        <v/>
      </c>
      <c r="K19" s="18">
        <f>IF($G$19="vacant",IF(4&lt;Inputs!$C$9,0,IF(4=Inputs!$C$9,$D$19*Inputs!$C$6,$D$19*Inputs!$C$6*(1+Inputs!$C$8)^(4-Inputs!$C$9))),IF(4&lt;($F$19-2025),$D$19*$E$19*(1+Inputs!$C$8)^(4-1),IF(4=($F$19-2025),$D$19*MAX(($E$19*(1+Inputs!$C$8)^(4-1)),(Inputs!$C$6*(1+Inputs!$C$8)^(4-1)))*Inputs!$C$31,$D$19*MAX(($E$19*(1+Inputs!$C$8)^(($F$19-2025)-1)),(Inputs!$C$6*(1+Inputs!$C$8)^(($F$19-2025)-1)))*(1+Inputs!$C$8)^(4-($F$19-2025)))))</f>
        <v/>
      </c>
      <c r="L19" s="18">
        <f>IF($G$19="vacant",IF(5&lt;Inputs!$C$9,0,IF(5=Inputs!$C$9,$D$19*Inputs!$C$6,$D$19*Inputs!$C$6*(1+Inputs!$C$8)^(5-Inputs!$C$9))),IF(5&lt;($F$19-2025),$D$19*$E$19*(1+Inputs!$C$8)^(5-1),IF(5=($F$19-2025),$D$19*MAX(($E$19*(1+Inputs!$C$8)^(5-1)),(Inputs!$C$6*(1+Inputs!$C$8)^(5-1)))*Inputs!$C$31,$D$19*MAX(($E$19*(1+Inputs!$C$8)^(($F$19-2025)-1)),(Inputs!$C$6*(1+Inputs!$C$8)^(($F$19-2025)-1)))*(1+Inputs!$C$8)^(5-($F$19-2025)))))</f>
        <v/>
      </c>
      <c r="M19" s="18">
        <f>IF($G$19="vacant",IF(6&lt;Inputs!$C$9,0,IF(6=Inputs!$C$9,$D$19*Inputs!$C$6,$D$19*Inputs!$C$6*(1+Inputs!$C$8)^(6-Inputs!$C$9))),IF(6&lt;($F$19-2025),$D$19*$E$19*(1+Inputs!$C$8)^(6-1),IF(6=($F$19-2025),$D$19*MAX(($E$19*(1+Inputs!$C$8)^(6-1)),(Inputs!$C$6*(1+Inputs!$C$8)^(6-1)))*Inputs!$C$31,$D$19*MAX(($E$19*(1+Inputs!$C$8)^(($F$19-2025)-1)),(Inputs!$C$6*(1+Inputs!$C$8)^(($F$19-2025)-1)))*(1+Inputs!$C$8)^(6-($F$19-2025)))))</f>
        <v/>
      </c>
      <c r="N19" s="18">
        <f>IF($G$19="vacant",IF(7&lt;Inputs!$C$9,0,IF(7=Inputs!$C$9,$D$19*Inputs!$C$6,$D$19*Inputs!$C$6*(1+Inputs!$C$8)^(7-Inputs!$C$9))),IF(7&lt;($F$19-2025),$D$19*$E$19*(1+Inputs!$C$8)^(7-1),IF(7=($F$19-2025),$D$19*MAX(($E$19*(1+Inputs!$C$8)^(7-1)),(Inputs!$C$6*(1+Inputs!$C$8)^(7-1)))*Inputs!$C$31,$D$19*MAX(($E$19*(1+Inputs!$C$8)^(($F$19-2025)-1)),(Inputs!$C$6*(1+Inputs!$C$8)^(($F$19-2025)-1)))*(1+Inputs!$C$8)^(7-($F$19-2025)))))</f>
        <v/>
      </c>
      <c r="O19" s="18">
        <f>IF($G$19="vacant",IF(8&lt;Inputs!$C$9,0,IF(8=Inputs!$C$9,$D$19*Inputs!$C$6,$D$19*Inputs!$C$6*(1+Inputs!$C$8)^(8-Inputs!$C$9))),IF(8&lt;($F$19-2025),$D$19*$E$19*(1+Inputs!$C$8)^(8-1),IF(8=($F$19-2025),$D$19*MAX(($E$19*(1+Inputs!$C$8)^(8-1)),(Inputs!$C$6*(1+Inputs!$C$8)^(8-1)))*Inputs!$C$31,$D$19*MAX(($E$19*(1+Inputs!$C$8)^(($F$19-2025)-1)),(Inputs!$C$6*(1+Inputs!$C$8)^(($F$19-2025)-1)))*(1+Inputs!$C$8)^(8-($F$19-2025)))))</f>
        <v/>
      </c>
      <c r="P19" s="18">
        <f>IF($G$19="vacant",IF(9&lt;Inputs!$C$9,0,IF(9=Inputs!$C$9,$D$19*Inputs!$C$6,$D$19*Inputs!$C$6*(1+Inputs!$C$8)^(9-Inputs!$C$9))),IF(9&lt;($F$19-2025),$D$19*$E$19*(1+Inputs!$C$8)^(9-1),IF(9=($F$19-2025),$D$19*MAX(($E$19*(1+Inputs!$C$8)^(9-1)),(Inputs!$C$6*(1+Inputs!$C$8)^(9-1)))*Inputs!$C$31,$D$19*MAX(($E$19*(1+Inputs!$C$8)^(($F$19-2025)-1)),(Inputs!$C$6*(1+Inputs!$C$8)^(($F$19-2025)-1)))*(1+Inputs!$C$8)^(9-($F$19-2025)))))</f>
        <v/>
      </c>
      <c r="Q19" s="18">
        <f>IF($G$19="vacant",IF(10&lt;Inputs!$C$9,0,IF(10=Inputs!$C$9,$D$19*Inputs!$C$6,$D$19*Inputs!$C$6*(1+Inputs!$C$8)^(10-Inputs!$C$9))),IF(10&lt;($F$19-2025),$D$19*$E$19*(1+Inputs!$C$8)^(10-1),IF(10=($F$19-2025),$D$19*MAX(($E$19*(1+Inputs!$C$8)^(10-1)),(Inputs!$C$6*(1+Inputs!$C$8)^(10-1)))*Inputs!$C$31,$D$19*MAX(($E$19*(1+Inputs!$C$8)^(($F$19-2025)-1)),(Inputs!$C$6*(1+Inputs!$C$8)^(($F$19-2025)-1)))*(1+Inputs!$C$8)^(10-($F$19-2025)))))</f>
        <v/>
      </c>
    </row>
    <row r="20">
      <c r="B20" t="inlineStr">
        <is>
          <t>120</t>
        </is>
      </c>
      <c r="C20" t="inlineStr">
        <is>
          <t>Alloy Personal Trng</t>
        </is>
      </c>
      <c r="D20" s="16">
        <f>'Rent Roll'!$E$20</f>
        <v/>
      </c>
      <c r="E20" s="17">
        <f>'Rent Roll'!$F$20</f>
        <v/>
      </c>
      <c r="F20">
        <f>'Rent Roll'!$G$20</f>
        <v/>
      </c>
      <c r="G20">
        <f>'Rent Roll'!$H$20</f>
        <v/>
      </c>
      <c r="H20" s="18">
        <f>IF($G$20="vacant",IF(1&lt;Inputs!$C$9,0,IF(1=Inputs!$C$9,$D$20*Inputs!$C$6,$D$20*Inputs!$C$6*(1+Inputs!$C$8)^(1-Inputs!$C$9))),IF(1&lt;($F$20-2025),$D$20*$E$20*(1+Inputs!$C$8)^(1-1),IF(1=($F$20-2025),$D$20*MAX(($E$20*(1+Inputs!$C$8)^(1-1)),(Inputs!$C$6*(1+Inputs!$C$8)^(1-1)))*Inputs!$C$31,$D$20*MAX(($E$20*(1+Inputs!$C$8)^(($F$20-2025)-1)),(Inputs!$C$6*(1+Inputs!$C$8)^(($F$20-2025)-1)))*(1+Inputs!$C$8)^(1-($F$20-2025)))))</f>
        <v/>
      </c>
      <c r="I20" s="18">
        <f>IF($G$20="vacant",IF(2&lt;Inputs!$C$9,0,IF(2=Inputs!$C$9,$D$20*Inputs!$C$6,$D$20*Inputs!$C$6*(1+Inputs!$C$8)^(2-Inputs!$C$9))),IF(2&lt;($F$20-2025),$D$20*$E$20*(1+Inputs!$C$8)^(2-1),IF(2=($F$20-2025),$D$20*MAX(($E$20*(1+Inputs!$C$8)^(2-1)),(Inputs!$C$6*(1+Inputs!$C$8)^(2-1)))*Inputs!$C$31,$D$20*MAX(($E$20*(1+Inputs!$C$8)^(($F$20-2025)-1)),(Inputs!$C$6*(1+Inputs!$C$8)^(($F$20-2025)-1)))*(1+Inputs!$C$8)^(2-($F$20-2025)))))</f>
        <v/>
      </c>
      <c r="J20" s="18">
        <f>IF($G$20="vacant",IF(3&lt;Inputs!$C$9,0,IF(3=Inputs!$C$9,$D$20*Inputs!$C$6,$D$20*Inputs!$C$6*(1+Inputs!$C$8)^(3-Inputs!$C$9))),IF(3&lt;($F$20-2025),$D$20*$E$20*(1+Inputs!$C$8)^(3-1),IF(3=($F$20-2025),$D$20*MAX(($E$20*(1+Inputs!$C$8)^(3-1)),(Inputs!$C$6*(1+Inputs!$C$8)^(3-1)))*Inputs!$C$31,$D$20*MAX(($E$20*(1+Inputs!$C$8)^(($F$20-2025)-1)),(Inputs!$C$6*(1+Inputs!$C$8)^(($F$20-2025)-1)))*(1+Inputs!$C$8)^(3-($F$20-2025)))))</f>
        <v/>
      </c>
      <c r="K20" s="18">
        <f>IF($G$20="vacant",IF(4&lt;Inputs!$C$9,0,IF(4=Inputs!$C$9,$D$20*Inputs!$C$6,$D$20*Inputs!$C$6*(1+Inputs!$C$8)^(4-Inputs!$C$9))),IF(4&lt;($F$20-2025),$D$20*$E$20*(1+Inputs!$C$8)^(4-1),IF(4=($F$20-2025),$D$20*MAX(($E$20*(1+Inputs!$C$8)^(4-1)),(Inputs!$C$6*(1+Inputs!$C$8)^(4-1)))*Inputs!$C$31,$D$20*MAX(($E$20*(1+Inputs!$C$8)^(($F$20-2025)-1)),(Inputs!$C$6*(1+Inputs!$C$8)^(($F$20-2025)-1)))*(1+Inputs!$C$8)^(4-($F$20-2025)))))</f>
        <v/>
      </c>
      <c r="L20" s="18">
        <f>IF($G$20="vacant",IF(5&lt;Inputs!$C$9,0,IF(5=Inputs!$C$9,$D$20*Inputs!$C$6,$D$20*Inputs!$C$6*(1+Inputs!$C$8)^(5-Inputs!$C$9))),IF(5&lt;($F$20-2025),$D$20*$E$20*(1+Inputs!$C$8)^(5-1),IF(5=($F$20-2025),$D$20*MAX(($E$20*(1+Inputs!$C$8)^(5-1)),(Inputs!$C$6*(1+Inputs!$C$8)^(5-1)))*Inputs!$C$31,$D$20*MAX(($E$20*(1+Inputs!$C$8)^(($F$20-2025)-1)),(Inputs!$C$6*(1+Inputs!$C$8)^(($F$20-2025)-1)))*(1+Inputs!$C$8)^(5-($F$20-2025)))))</f>
        <v/>
      </c>
      <c r="M20" s="18">
        <f>IF($G$20="vacant",IF(6&lt;Inputs!$C$9,0,IF(6=Inputs!$C$9,$D$20*Inputs!$C$6,$D$20*Inputs!$C$6*(1+Inputs!$C$8)^(6-Inputs!$C$9))),IF(6&lt;($F$20-2025),$D$20*$E$20*(1+Inputs!$C$8)^(6-1),IF(6=($F$20-2025),$D$20*MAX(($E$20*(1+Inputs!$C$8)^(6-1)),(Inputs!$C$6*(1+Inputs!$C$8)^(6-1)))*Inputs!$C$31,$D$20*MAX(($E$20*(1+Inputs!$C$8)^(($F$20-2025)-1)),(Inputs!$C$6*(1+Inputs!$C$8)^(($F$20-2025)-1)))*(1+Inputs!$C$8)^(6-($F$20-2025)))))</f>
        <v/>
      </c>
      <c r="N20" s="18">
        <f>IF($G$20="vacant",IF(7&lt;Inputs!$C$9,0,IF(7=Inputs!$C$9,$D$20*Inputs!$C$6,$D$20*Inputs!$C$6*(1+Inputs!$C$8)^(7-Inputs!$C$9))),IF(7&lt;($F$20-2025),$D$20*$E$20*(1+Inputs!$C$8)^(7-1),IF(7=($F$20-2025),$D$20*MAX(($E$20*(1+Inputs!$C$8)^(7-1)),(Inputs!$C$6*(1+Inputs!$C$8)^(7-1)))*Inputs!$C$31,$D$20*MAX(($E$20*(1+Inputs!$C$8)^(($F$20-2025)-1)),(Inputs!$C$6*(1+Inputs!$C$8)^(($F$20-2025)-1)))*(1+Inputs!$C$8)^(7-($F$20-2025)))))</f>
        <v/>
      </c>
      <c r="O20" s="18">
        <f>IF($G$20="vacant",IF(8&lt;Inputs!$C$9,0,IF(8=Inputs!$C$9,$D$20*Inputs!$C$6,$D$20*Inputs!$C$6*(1+Inputs!$C$8)^(8-Inputs!$C$9))),IF(8&lt;($F$20-2025),$D$20*$E$20*(1+Inputs!$C$8)^(8-1),IF(8=($F$20-2025),$D$20*MAX(($E$20*(1+Inputs!$C$8)^(8-1)),(Inputs!$C$6*(1+Inputs!$C$8)^(8-1)))*Inputs!$C$31,$D$20*MAX(($E$20*(1+Inputs!$C$8)^(($F$20-2025)-1)),(Inputs!$C$6*(1+Inputs!$C$8)^(($F$20-2025)-1)))*(1+Inputs!$C$8)^(8-($F$20-2025)))))</f>
        <v/>
      </c>
      <c r="P20" s="18">
        <f>IF($G$20="vacant",IF(9&lt;Inputs!$C$9,0,IF(9=Inputs!$C$9,$D$20*Inputs!$C$6,$D$20*Inputs!$C$6*(1+Inputs!$C$8)^(9-Inputs!$C$9))),IF(9&lt;($F$20-2025),$D$20*$E$20*(1+Inputs!$C$8)^(9-1),IF(9=($F$20-2025),$D$20*MAX(($E$20*(1+Inputs!$C$8)^(9-1)),(Inputs!$C$6*(1+Inputs!$C$8)^(9-1)))*Inputs!$C$31,$D$20*MAX(($E$20*(1+Inputs!$C$8)^(($F$20-2025)-1)),(Inputs!$C$6*(1+Inputs!$C$8)^(($F$20-2025)-1)))*(1+Inputs!$C$8)^(9-($F$20-2025)))))</f>
        <v/>
      </c>
      <c r="Q20" s="18">
        <f>IF($G$20="vacant",IF(10&lt;Inputs!$C$9,0,IF(10=Inputs!$C$9,$D$20*Inputs!$C$6,$D$20*Inputs!$C$6*(1+Inputs!$C$8)^(10-Inputs!$C$9))),IF(10&lt;($F$20-2025),$D$20*$E$20*(1+Inputs!$C$8)^(10-1),IF(10=($F$20-2025),$D$20*MAX(($E$20*(1+Inputs!$C$8)^(10-1)),(Inputs!$C$6*(1+Inputs!$C$8)^(10-1)))*Inputs!$C$31,$D$20*MAX(($E$20*(1+Inputs!$C$8)^(($F$20-2025)-1)),(Inputs!$C$6*(1+Inputs!$C$8)^(($F$20-2025)-1)))*(1+Inputs!$C$8)^(10-($F$20-2025)))))</f>
        <v/>
      </c>
    </row>
    <row r="21">
      <c r="B21" t="inlineStr">
        <is>
          <t>160</t>
        </is>
      </c>
      <c r="C21" t="inlineStr">
        <is>
          <t>European Wax Center</t>
        </is>
      </c>
      <c r="D21" s="16">
        <f>'Rent Roll'!$E$21</f>
        <v/>
      </c>
      <c r="E21" s="17">
        <f>'Rent Roll'!$F$21</f>
        <v/>
      </c>
      <c r="F21">
        <f>'Rent Roll'!$G$21</f>
        <v/>
      </c>
      <c r="G21">
        <f>'Rent Roll'!$H$21</f>
        <v/>
      </c>
      <c r="H21" s="18">
        <f>IF($G$21="vacant",IF(1&lt;Inputs!$C$9,0,IF(1=Inputs!$C$9,$D$21*Inputs!$C$6,$D$21*Inputs!$C$6*(1+Inputs!$C$8)^(1-Inputs!$C$9))),IF(1&lt;($F$21-2025),$D$21*$E$21*(1+Inputs!$C$8)^(1-1),IF(1=($F$21-2025),$D$21*MAX(($E$21*(1+Inputs!$C$8)^(1-1)),(Inputs!$C$6*(1+Inputs!$C$8)^(1-1)))*Inputs!$C$31,$D$21*MAX(($E$21*(1+Inputs!$C$8)^(($F$21-2025)-1)),(Inputs!$C$6*(1+Inputs!$C$8)^(($F$21-2025)-1)))*(1+Inputs!$C$8)^(1-($F$21-2025)))))</f>
        <v/>
      </c>
      <c r="I21" s="18">
        <f>IF($G$21="vacant",IF(2&lt;Inputs!$C$9,0,IF(2=Inputs!$C$9,$D$21*Inputs!$C$6,$D$21*Inputs!$C$6*(1+Inputs!$C$8)^(2-Inputs!$C$9))),IF(2&lt;($F$21-2025),$D$21*$E$21*(1+Inputs!$C$8)^(2-1),IF(2=($F$21-2025),$D$21*MAX(($E$21*(1+Inputs!$C$8)^(2-1)),(Inputs!$C$6*(1+Inputs!$C$8)^(2-1)))*Inputs!$C$31,$D$21*MAX(($E$21*(1+Inputs!$C$8)^(($F$21-2025)-1)),(Inputs!$C$6*(1+Inputs!$C$8)^(($F$21-2025)-1)))*(1+Inputs!$C$8)^(2-($F$21-2025)))))</f>
        <v/>
      </c>
      <c r="J21" s="18">
        <f>IF($G$21="vacant",IF(3&lt;Inputs!$C$9,0,IF(3=Inputs!$C$9,$D$21*Inputs!$C$6,$D$21*Inputs!$C$6*(1+Inputs!$C$8)^(3-Inputs!$C$9))),IF(3&lt;($F$21-2025),$D$21*$E$21*(1+Inputs!$C$8)^(3-1),IF(3=($F$21-2025),$D$21*MAX(($E$21*(1+Inputs!$C$8)^(3-1)),(Inputs!$C$6*(1+Inputs!$C$8)^(3-1)))*Inputs!$C$31,$D$21*MAX(($E$21*(1+Inputs!$C$8)^(($F$21-2025)-1)),(Inputs!$C$6*(1+Inputs!$C$8)^(($F$21-2025)-1)))*(1+Inputs!$C$8)^(3-($F$21-2025)))))</f>
        <v/>
      </c>
      <c r="K21" s="18">
        <f>IF($G$21="vacant",IF(4&lt;Inputs!$C$9,0,IF(4=Inputs!$C$9,$D$21*Inputs!$C$6,$D$21*Inputs!$C$6*(1+Inputs!$C$8)^(4-Inputs!$C$9))),IF(4&lt;($F$21-2025),$D$21*$E$21*(1+Inputs!$C$8)^(4-1),IF(4=($F$21-2025),$D$21*MAX(($E$21*(1+Inputs!$C$8)^(4-1)),(Inputs!$C$6*(1+Inputs!$C$8)^(4-1)))*Inputs!$C$31,$D$21*MAX(($E$21*(1+Inputs!$C$8)^(($F$21-2025)-1)),(Inputs!$C$6*(1+Inputs!$C$8)^(($F$21-2025)-1)))*(1+Inputs!$C$8)^(4-($F$21-2025)))))</f>
        <v/>
      </c>
      <c r="L21" s="18">
        <f>IF($G$21="vacant",IF(5&lt;Inputs!$C$9,0,IF(5=Inputs!$C$9,$D$21*Inputs!$C$6,$D$21*Inputs!$C$6*(1+Inputs!$C$8)^(5-Inputs!$C$9))),IF(5&lt;($F$21-2025),$D$21*$E$21*(1+Inputs!$C$8)^(5-1),IF(5=($F$21-2025),$D$21*MAX(($E$21*(1+Inputs!$C$8)^(5-1)),(Inputs!$C$6*(1+Inputs!$C$8)^(5-1)))*Inputs!$C$31,$D$21*MAX(($E$21*(1+Inputs!$C$8)^(($F$21-2025)-1)),(Inputs!$C$6*(1+Inputs!$C$8)^(($F$21-2025)-1)))*(1+Inputs!$C$8)^(5-($F$21-2025)))))</f>
        <v/>
      </c>
      <c r="M21" s="18">
        <f>IF($G$21="vacant",IF(6&lt;Inputs!$C$9,0,IF(6=Inputs!$C$9,$D$21*Inputs!$C$6,$D$21*Inputs!$C$6*(1+Inputs!$C$8)^(6-Inputs!$C$9))),IF(6&lt;($F$21-2025),$D$21*$E$21*(1+Inputs!$C$8)^(6-1),IF(6=($F$21-2025),$D$21*MAX(($E$21*(1+Inputs!$C$8)^(6-1)),(Inputs!$C$6*(1+Inputs!$C$8)^(6-1)))*Inputs!$C$31,$D$21*MAX(($E$21*(1+Inputs!$C$8)^(($F$21-2025)-1)),(Inputs!$C$6*(1+Inputs!$C$8)^(($F$21-2025)-1)))*(1+Inputs!$C$8)^(6-($F$21-2025)))))</f>
        <v/>
      </c>
      <c r="N21" s="18">
        <f>IF($G$21="vacant",IF(7&lt;Inputs!$C$9,0,IF(7=Inputs!$C$9,$D$21*Inputs!$C$6,$D$21*Inputs!$C$6*(1+Inputs!$C$8)^(7-Inputs!$C$9))),IF(7&lt;($F$21-2025),$D$21*$E$21*(1+Inputs!$C$8)^(7-1),IF(7=($F$21-2025),$D$21*MAX(($E$21*(1+Inputs!$C$8)^(7-1)),(Inputs!$C$6*(1+Inputs!$C$8)^(7-1)))*Inputs!$C$31,$D$21*MAX(($E$21*(1+Inputs!$C$8)^(($F$21-2025)-1)),(Inputs!$C$6*(1+Inputs!$C$8)^(($F$21-2025)-1)))*(1+Inputs!$C$8)^(7-($F$21-2025)))))</f>
        <v/>
      </c>
      <c r="O21" s="18">
        <f>IF($G$21="vacant",IF(8&lt;Inputs!$C$9,0,IF(8=Inputs!$C$9,$D$21*Inputs!$C$6,$D$21*Inputs!$C$6*(1+Inputs!$C$8)^(8-Inputs!$C$9))),IF(8&lt;($F$21-2025),$D$21*$E$21*(1+Inputs!$C$8)^(8-1),IF(8=($F$21-2025),$D$21*MAX(($E$21*(1+Inputs!$C$8)^(8-1)),(Inputs!$C$6*(1+Inputs!$C$8)^(8-1)))*Inputs!$C$31,$D$21*MAX(($E$21*(1+Inputs!$C$8)^(($F$21-2025)-1)),(Inputs!$C$6*(1+Inputs!$C$8)^(($F$21-2025)-1)))*(1+Inputs!$C$8)^(8-($F$21-2025)))))</f>
        <v/>
      </c>
      <c r="P21" s="18">
        <f>IF($G$21="vacant",IF(9&lt;Inputs!$C$9,0,IF(9=Inputs!$C$9,$D$21*Inputs!$C$6,$D$21*Inputs!$C$6*(1+Inputs!$C$8)^(9-Inputs!$C$9))),IF(9&lt;($F$21-2025),$D$21*$E$21*(1+Inputs!$C$8)^(9-1),IF(9=($F$21-2025),$D$21*MAX(($E$21*(1+Inputs!$C$8)^(9-1)),(Inputs!$C$6*(1+Inputs!$C$8)^(9-1)))*Inputs!$C$31,$D$21*MAX(($E$21*(1+Inputs!$C$8)^(($F$21-2025)-1)),(Inputs!$C$6*(1+Inputs!$C$8)^(($F$21-2025)-1)))*(1+Inputs!$C$8)^(9-($F$21-2025)))))</f>
        <v/>
      </c>
      <c r="Q21" s="18">
        <f>IF($G$21="vacant",IF(10&lt;Inputs!$C$9,0,IF(10=Inputs!$C$9,$D$21*Inputs!$C$6,$D$21*Inputs!$C$6*(1+Inputs!$C$8)^(10-Inputs!$C$9))),IF(10&lt;($F$21-2025),$D$21*$E$21*(1+Inputs!$C$8)^(10-1),IF(10=($F$21-2025),$D$21*MAX(($E$21*(1+Inputs!$C$8)^(10-1)),(Inputs!$C$6*(1+Inputs!$C$8)^(10-1)))*Inputs!$C$31,$D$21*MAX(($E$21*(1+Inputs!$C$8)^(($F$21-2025)-1)),(Inputs!$C$6*(1+Inputs!$C$8)^(($F$21-2025)-1)))*(1+Inputs!$C$8)^(10-($F$21-2025)))))</f>
        <v/>
      </c>
    </row>
    <row r="22">
      <c r="B22" t="inlineStr">
        <is>
          <t>220</t>
        </is>
      </c>
      <c r="C22" t="inlineStr">
        <is>
          <t>Bonck Group</t>
        </is>
      </c>
      <c r="D22" s="16">
        <f>'Rent Roll'!$E$22</f>
        <v/>
      </c>
      <c r="E22" s="17">
        <f>'Rent Roll'!$F$22</f>
        <v/>
      </c>
      <c r="F22">
        <f>'Rent Roll'!$G$22</f>
        <v/>
      </c>
      <c r="G22">
        <f>'Rent Roll'!$H$22</f>
        <v/>
      </c>
      <c r="H22" s="18">
        <f>IF($G$22="vacant",IF(1&lt;Inputs!$C$9,0,IF(1=Inputs!$C$9,$D$22*Inputs!$C$6,$D$22*Inputs!$C$6*(1+Inputs!$C$8)^(1-Inputs!$C$9))),IF(1&lt;($F$22-2025),$D$22*$E$22*(1+Inputs!$C$8)^(1-1),IF(1=($F$22-2025),$D$22*MAX(($E$22*(1+Inputs!$C$8)^(1-1)),(Inputs!$C$6*(1+Inputs!$C$8)^(1-1)))*Inputs!$C$31,$D$22*MAX(($E$22*(1+Inputs!$C$8)^(($F$22-2025)-1)),(Inputs!$C$6*(1+Inputs!$C$8)^(($F$22-2025)-1)))*(1+Inputs!$C$8)^(1-($F$22-2025)))))</f>
        <v/>
      </c>
      <c r="I22" s="18">
        <f>IF($G$22="vacant",IF(2&lt;Inputs!$C$9,0,IF(2=Inputs!$C$9,$D$22*Inputs!$C$6,$D$22*Inputs!$C$6*(1+Inputs!$C$8)^(2-Inputs!$C$9))),IF(2&lt;($F$22-2025),$D$22*$E$22*(1+Inputs!$C$8)^(2-1),IF(2=($F$22-2025),$D$22*MAX(($E$22*(1+Inputs!$C$8)^(2-1)),(Inputs!$C$6*(1+Inputs!$C$8)^(2-1)))*Inputs!$C$31,$D$22*MAX(($E$22*(1+Inputs!$C$8)^(($F$22-2025)-1)),(Inputs!$C$6*(1+Inputs!$C$8)^(($F$22-2025)-1)))*(1+Inputs!$C$8)^(2-($F$22-2025)))))</f>
        <v/>
      </c>
      <c r="J22" s="18">
        <f>IF($G$22="vacant",IF(3&lt;Inputs!$C$9,0,IF(3=Inputs!$C$9,$D$22*Inputs!$C$6,$D$22*Inputs!$C$6*(1+Inputs!$C$8)^(3-Inputs!$C$9))),IF(3&lt;($F$22-2025),$D$22*$E$22*(1+Inputs!$C$8)^(3-1),IF(3=($F$22-2025),$D$22*MAX(($E$22*(1+Inputs!$C$8)^(3-1)),(Inputs!$C$6*(1+Inputs!$C$8)^(3-1)))*Inputs!$C$31,$D$22*MAX(($E$22*(1+Inputs!$C$8)^(($F$22-2025)-1)),(Inputs!$C$6*(1+Inputs!$C$8)^(($F$22-2025)-1)))*(1+Inputs!$C$8)^(3-($F$22-2025)))))</f>
        <v/>
      </c>
      <c r="K22" s="18">
        <f>IF($G$22="vacant",IF(4&lt;Inputs!$C$9,0,IF(4=Inputs!$C$9,$D$22*Inputs!$C$6,$D$22*Inputs!$C$6*(1+Inputs!$C$8)^(4-Inputs!$C$9))),IF(4&lt;($F$22-2025),$D$22*$E$22*(1+Inputs!$C$8)^(4-1),IF(4=($F$22-2025),$D$22*MAX(($E$22*(1+Inputs!$C$8)^(4-1)),(Inputs!$C$6*(1+Inputs!$C$8)^(4-1)))*Inputs!$C$31,$D$22*MAX(($E$22*(1+Inputs!$C$8)^(($F$22-2025)-1)),(Inputs!$C$6*(1+Inputs!$C$8)^(($F$22-2025)-1)))*(1+Inputs!$C$8)^(4-($F$22-2025)))))</f>
        <v/>
      </c>
      <c r="L22" s="18">
        <f>IF($G$22="vacant",IF(5&lt;Inputs!$C$9,0,IF(5=Inputs!$C$9,$D$22*Inputs!$C$6,$D$22*Inputs!$C$6*(1+Inputs!$C$8)^(5-Inputs!$C$9))),IF(5&lt;($F$22-2025),$D$22*$E$22*(1+Inputs!$C$8)^(5-1),IF(5=($F$22-2025),$D$22*MAX(($E$22*(1+Inputs!$C$8)^(5-1)),(Inputs!$C$6*(1+Inputs!$C$8)^(5-1)))*Inputs!$C$31,$D$22*MAX(($E$22*(1+Inputs!$C$8)^(($F$22-2025)-1)),(Inputs!$C$6*(1+Inputs!$C$8)^(($F$22-2025)-1)))*(1+Inputs!$C$8)^(5-($F$22-2025)))))</f>
        <v/>
      </c>
      <c r="M22" s="18">
        <f>IF($G$22="vacant",IF(6&lt;Inputs!$C$9,0,IF(6=Inputs!$C$9,$D$22*Inputs!$C$6,$D$22*Inputs!$C$6*(1+Inputs!$C$8)^(6-Inputs!$C$9))),IF(6&lt;($F$22-2025),$D$22*$E$22*(1+Inputs!$C$8)^(6-1),IF(6=($F$22-2025),$D$22*MAX(($E$22*(1+Inputs!$C$8)^(6-1)),(Inputs!$C$6*(1+Inputs!$C$8)^(6-1)))*Inputs!$C$31,$D$22*MAX(($E$22*(1+Inputs!$C$8)^(($F$22-2025)-1)),(Inputs!$C$6*(1+Inputs!$C$8)^(($F$22-2025)-1)))*(1+Inputs!$C$8)^(6-($F$22-2025)))))</f>
        <v/>
      </c>
      <c r="N22" s="18">
        <f>IF($G$22="vacant",IF(7&lt;Inputs!$C$9,0,IF(7=Inputs!$C$9,$D$22*Inputs!$C$6,$D$22*Inputs!$C$6*(1+Inputs!$C$8)^(7-Inputs!$C$9))),IF(7&lt;($F$22-2025),$D$22*$E$22*(1+Inputs!$C$8)^(7-1),IF(7=($F$22-2025),$D$22*MAX(($E$22*(1+Inputs!$C$8)^(7-1)),(Inputs!$C$6*(1+Inputs!$C$8)^(7-1)))*Inputs!$C$31,$D$22*MAX(($E$22*(1+Inputs!$C$8)^(($F$22-2025)-1)),(Inputs!$C$6*(1+Inputs!$C$8)^(($F$22-2025)-1)))*(1+Inputs!$C$8)^(7-($F$22-2025)))))</f>
        <v/>
      </c>
      <c r="O22" s="18">
        <f>IF($G$22="vacant",IF(8&lt;Inputs!$C$9,0,IF(8=Inputs!$C$9,$D$22*Inputs!$C$6,$D$22*Inputs!$C$6*(1+Inputs!$C$8)^(8-Inputs!$C$9))),IF(8&lt;($F$22-2025),$D$22*$E$22*(1+Inputs!$C$8)^(8-1),IF(8=($F$22-2025),$D$22*MAX(($E$22*(1+Inputs!$C$8)^(8-1)),(Inputs!$C$6*(1+Inputs!$C$8)^(8-1)))*Inputs!$C$31,$D$22*MAX(($E$22*(1+Inputs!$C$8)^(($F$22-2025)-1)),(Inputs!$C$6*(1+Inputs!$C$8)^(($F$22-2025)-1)))*(1+Inputs!$C$8)^(8-($F$22-2025)))))</f>
        <v/>
      </c>
      <c r="P22" s="18">
        <f>IF($G$22="vacant",IF(9&lt;Inputs!$C$9,0,IF(9=Inputs!$C$9,$D$22*Inputs!$C$6,$D$22*Inputs!$C$6*(1+Inputs!$C$8)^(9-Inputs!$C$9))),IF(9&lt;($F$22-2025),$D$22*$E$22*(1+Inputs!$C$8)^(9-1),IF(9=($F$22-2025),$D$22*MAX(($E$22*(1+Inputs!$C$8)^(9-1)),(Inputs!$C$6*(1+Inputs!$C$8)^(9-1)))*Inputs!$C$31,$D$22*MAX(($E$22*(1+Inputs!$C$8)^(($F$22-2025)-1)),(Inputs!$C$6*(1+Inputs!$C$8)^(($F$22-2025)-1)))*(1+Inputs!$C$8)^(9-($F$22-2025)))))</f>
        <v/>
      </c>
      <c r="Q22" s="18">
        <f>IF($G$22="vacant",IF(10&lt;Inputs!$C$9,0,IF(10=Inputs!$C$9,$D$22*Inputs!$C$6,$D$22*Inputs!$C$6*(1+Inputs!$C$8)^(10-Inputs!$C$9))),IF(10&lt;($F$22-2025),$D$22*$E$22*(1+Inputs!$C$8)^(10-1),IF(10=($F$22-2025),$D$22*MAX(($E$22*(1+Inputs!$C$8)^(10-1)),(Inputs!$C$6*(1+Inputs!$C$8)^(10-1)))*Inputs!$C$31,$D$22*MAX(($E$22*(1+Inputs!$C$8)^(($F$22-2025)-1)),(Inputs!$C$6*(1+Inputs!$C$8)^(($F$22-2025)-1)))*(1+Inputs!$C$8)^(10-($F$22-2025)))))</f>
        <v/>
      </c>
    </row>
    <row r="23">
      <c r="B23" t="inlineStr">
        <is>
          <t>1413C</t>
        </is>
      </c>
      <c r="C23" t="inlineStr">
        <is>
          <t>Clean Juice</t>
        </is>
      </c>
      <c r="D23" s="16">
        <f>'Rent Roll'!$E$23</f>
        <v/>
      </c>
      <c r="E23" s="17">
        <f>'Rent Roll'!$F$23</f>
        <v/>
      </c>
      <c r="F23">
        <f>'Rent Roll'!$G$23</f>
        <v/>
      </c>
      <c r="G23">
        <f>'Rent Roll'!$H$23</f>
        <v/>
      </c>
      <c r="H23" s="18">
        <f>IF($G$23="vacant",IF(1&lt;Inputs!$C$9,0,IF(1=Inputs!$C$9,$D$23*Inputs!$C$6,$D$23*Inputs!$C$6*(1+Inputs!$C$8)^(1-Inputs!$C$9))),IF(1&lt;($F$23-2025),$D$23*$E$23*(1+Inputs!$C$8)^(1-1),IF(1=($F$23-2025),$D$23*MAX(($E$23*(1+Inputs!$C$8)^(1-1)),(Inputs!$C$6*(1+Inputs!$C$8)^(1-1)))*Inputs!$C$31,$D$23*MAX(($E$23*(1+Inputs!$C$8)^(($F$23-2025)-1)),(Inputs!$C$6*(1+Inputs!$C$8)^(($F$23-2025)-1)))*(1+Inputs!$C$8)^(1-($F$23-2025)))))</f>
        <v/>
      </c>
      <c r="I23" s="18">
        <f>IF($G$23="vacant",IF(2&lt;Inputs!$C$9,0,IF(2=Inputs!$C$9,$D$23*Inputs!$C$6,$D$23*Inputs!$C$6*(1+Inputs!$C$8)^(2-Inputs!$C$9))),IF(2&lt;($F$23-2025),$D$23*$E$23*(1+Inputs!$C$8)^(2-1),IF(2=($F$23-2025),$D$23*MAX(($E$23*(1+Inputs!$C$8)^(2-1)),(Inputs!$C$6*(1+Inputs!$C$8)^(2-1)))*Inputs!$C$31,$D$23*MAX(($E$23*(1+Inputs!$C$8)^(($F$23-2025)-1)),(Inputs!$C$6*(1+Inputs!$C$8)^(($F$23-2025)-1)))*(1+Inputs!$C$8)^(2-($F$23-2025)))))</f>
        <v/>
      </c>
      <c r="J23" s="18">
        <f>IF($G$23="vacant",IF(3&lt;Inputs!$C$9,0,IF(3=Inputs!$C$9,$D$23*Inputs!$C$6,$D$23*Inputs!$C$6*(1+Inputs!$C$8)^(3-Inputs!$C$9))),IF(3&lt;($F$23-2025),$D$23*$E$23*(1+Inputs!$C$8)^(3-1),IF(3=($F$23-2025),$D$23*MAX(($E$23*(1+Inputs!$C$8)^(3-1)),(Inputs!$C$6*(1+Inputs!$C$8)^(3-1)))*Inputs!$C$31,$D$23*MAX(($E$23*(1+Inputs!$C$8)^(($F$23-2025)-1)),(Inputs!$C$6*(1+Inputs!$C$8)^(($F$23-2025)-1)))*(1+Inputs!$C$8)^(3-($F$23-2025)))))</f>
        <v/>
      </c>
      <c r="K23" s="18">
        <f>IF($G$23="vacant",IF(4&lt;Inputs!$C$9,0,IF(4=Inputs!$C$9,$D$23*Inputs!$C$6,$D$23*Inputs!$C$6*(1+Inputs!$C$8)^(4-Inputs!$C$9))),IF(4&lt;($F$23-2025),$D$23*$E$23*(1+Inputs!$C$8)^(4-1),IF(4=($F$23-2025),$D$23*MAX(($E$23*(1+Inputs!$C$8)^(4-1)),(Inputs!$C$6*(1+Inputs!$C$8)^(4-1)))*Inputs!$C$31,$D$23*MAX(($E$23*(1+Inputs!$C$8)^(($F$23-2025)-1)),(Inputs!$C$6*(1+Inputs!$C$8)^(($F$23-2025)-1)))*(1+Inputs!$C$8)^(4-($F$23-2025)))))</f>
        <v/>
      </c>
      <c r="L23" s="18">
        <f>IF($G$23="vacant",IF(5&lt;Inputs!$C$9,0,IF(5=Inputs!$C$9,$D$23*Inputs!$C$6,$D$23*Inputs!$C$6*(1+Inputs!$C$8)^(5-Inputs!$C$9))),IF(5&lt;($F$23-2025),$D$23*$E$23*(1+Inputs!$C$8)^(5-1),IF(5=($F$23-2025),$D$23*MAX(($E$23*(1+Inputs!$C$8)^(5-1)),(Inputs!$C$6*(1+Inputs!$C$8)^(5-1)))*Inputs!$C$31,$D$23*MAX(($E$23*(1+Inputs!$C$8)^(($F$23-2025)-1)),(Inputs!$C$6*(1+Inputs!$C$8)^(($F$23-2025)-1)))*(1+Inputs!$C$8)^(5-($F$23-2025)))))</f>
        <v/>
      </c>
      <c r="M23" s="18">
        <f>IF($G$23="vacant",IF(6&lt;Inputs!$C$9,0,IF(6=Inputs!$C$9,$D$23*Inputs!$C$6,$D$23*Inputs!$C$6*(1+Inputs!$C$8)^(6-Inputs!$C$9))),IF(6&lt;($F$23-2025),$D$23*$E$23*(1+Inputs!$C$8)^(6-1),IF(6=($F$23-2025),$D$23*MAX(($E$23*(1+Inputs!$C$8)^(6-1)),(Inputs!$C$6*(1+Inputs!$C$8)^(6-1)))*Inputs!$C$31,$D$23*MAX(($E$23*(1+Inputs!$C$8)^(($F$23-2025)-1)),(Inputs!$C$6*(1+Inputs!$C$8)^(($F$23-2025)-1)))*(1+Inputs!$C$8)^(6-($F$23-2025)))))</f>
        <v/>
      </c>
      <c r="N23" s="18">
        <f>IF($G$23="vacant",IF(7&lt;Inputs!$C$9,0,IF(7=Inputs!$C$9,$D$23*Inputs!$C$6,$D$23*Inputs!$C$6*(1+Inputs!$C$8)^(7-Inputs!$C$9))),IF(7&lt;($F$23-2025),$D$23*$E$23*(1+Inputs!$C$8)^(7-1),IF(7=($F$23-2025),$D$23*MAX(($E$23*(1+Inputs!$C$8)^(7-1)),(Inputs!$C$6*(1+Inputs!$C$8)^(7-1)))*Inputs!$C$31,$D$23*MAX(($E$23*(1+Inputs!$C$8)^(($F$23-2025)-1)),(Inputs!$C$6*(1+Inputs!$C$8)^(($F$23-2025)-1)))*(1+Inputs!$C$8)^(7-($F$23-2025)))))</f>
        <v/>
      </c>
      <c r="O23" s="18">
        <f>IF($G$23="vacant",IF(8&lt;Inputs!$C$9,0,IF(8=Inputs!$C$9,$D$23*Inputs!$C$6,$D$23*Inputs!$C$6*(1+Inputs!$C$8)^(8-Inputs!$C$9))),IF(8&lt;($F$23-2025),$D$23*$E$23*(1+Inputs!$C$8)^(8-1),IF(8=($F$23-2025),$D$23*MAX(($E$23*(1+Inputs!$C$8)^(8-1)),(Inputs!$C$6*(1+Inputs!$C$8)^(8-1)))*Inputs!$C$31,$D$23*MAX(($E$23*(1+Inputs!$C$8)^(($F$23-2025)-1)),(Inputs!$C$6*(1+Inputs!$C$8)^(($F$23-2025)-1)))*(1+Inputs!$C$8)^(8-($F$23-2025)))))</f>
        <v/>
      </c>
      <c r="P23" s="18">
        <f>IF($G$23="vacant",IF(9&lt;Inputs!$C$9,0,IF(9=Inputs!$C$9,$D$23*Inputs!$C$6,$D$23*Inputs!$C$6*(1+Inputs!$C$8)^(9-Inputs!$C$9))),IF(9&lt;($F$23-2025),$D$23*$E$23*(1+Inputs!$C$8)^(9-1),IF(9=($F$23-2025),$D$23*MAX(($E$23*(1+Inputs!$C$8)^(9-1)),(Inputs!$C$6*(1+Inputs!$C$8)^(9-1)))*Inputs!$C$31,$D$23*MAX(($E$23*(1+Inputs!$C$8)^(($F$23-2025)-1)),(Inputs!$C$6*(1+Inputs!$C$8)^(($F$23-2025)-1)))*(1+Inputs!$C$8)^(9-($F$23-2025)))))</f>
        <v/>
      </c>
      <c r="Q23" s="18">
        <f>IF($G$23="vacant",IF(10&lt;Inputs!$C$9,0,IF(10=Inputs!$C$9,$D$23*Inputs!$C$6,$D$23*Inputs!$C$6*(1+Inputs!$C$8)^(10-Inputs!$C$9))),IF(10&lt;($F$23-2025),$D$23*$E$23*(1+Inputs!$C$8)^(10-1),IF(10=($F$23-2025),$D$23*MAX(($E$23*(1+Inputs!$C$8)^(10-1)),(Inputs!$C$6*(1+Inputs!$C$8)^(10-1)))*Inputs!$C$31,$D$23*MAX(($E$23*(1+Inputs!$C$8)^(($F$23-2025)-1)),(Inputs!$C$6*(1+Inputs!$C$8)^(($F$23-2025)-1)))*(1+Inputs!$C$8)^(10-($F$23-2025)))))</f>
        <v/>
      </c>
    </row>
    <row r="24">
      <c r="B24" t="inlineStr">
        <is>
          <t>1413D</t>
        </is>
      </c>
      <c r="C24" t="inlineStr">
        <is>
          <t>Jersey Mike's Subs</t>
        </is>
      </c>
      <c r="D24" s="16">
        <f>'Rent Roll'!$E$24</f>
        <v/>
      </c>
      <c r="E24" s="17">
        <f>'Rent Roll'!$F$24</f>
        <v/>
      </c>
      <c r="F24">
        <f>'Rent Roll'!$G$24</f>
        <v/>
      </c>
      <c r="G24">
        <f>'Rent Roll'!$H$24</f>
        <v/>
      </c>
      <c r="H24" s="18">
        <f>IF($G$24="vacant",IF(1&lt;Inputs!$C$9,0,IF(1=Inputs!$C$9,$D$24*Inputs!$C$6,$D$24*Inputs!$C$6*(1+Inputs!$C$8)^(1-Inputs!$C$9))),IF(1&lt;($F$24-2025),$D$24*$E$24*(1+Inputs!$C$8)^(1-1),IF(1=($F$24-2025),$D$24*MAX(($E$24*(1+Inputs!$C$8)^(1-1)),(Inputs!$C$6*(1+Inputs!$C$8)^(1-1)))*Inputs!$C$31,$D$24*MAX(($E$24*(1+Inputs!$C$8)^(($F$24-2025)-1)),(Inputs!$C$6*(1+Inputs!$C$8)^(($F$24-2025)-1)))*(1+Inputs!$C$8)^(1-($F$24-2025)))))</f>
        <v/>
      </c>
      <c r="I24" s="18">
        <f>IF($G$24="vacant",IF(2&lt;Inputs!$C$9,0,IF(2=Inputs!$C$9,$D$24*Inputs!$C$6,$D$24*Inputs!$C$6*(1+Inputs!$C$8)^(2-Inputs!$C$9))),IF(2&lt;($F$24-2025),$D$24*$E$24*(1+Inputs!$C$8)^(2-1),IF(2=($F$24-2025),$D$24*MAX(($E$24*(1+Inputs!$C$8)^(2-1)),(Inputs!$C$6*(1+Inputs!$C$8)^(2-1)))*Inputs!$C$31,$D$24*MAX(($E$24*(1+Inputs!$C$8)^(($F$24-2025)-1)),(Inputs!$C$6*(1+Inputs!$C$8)^(($F$24-2025)-1)))*(1+Inputs!$C$8)^(2-($F$24-2025)))))</f>
        <v/>
      </c>
      <c r="J24" s="18">
        <f>IF($G$24="vacant",IF(3&lt;Inputs!$C$9,0,IF(3=Inputs!$C$9,$D$24*Inputs!$C$6,$D$24*Inputs!$C$6*(1+Inputs!$C$8)^(3-Inputs!$C$9))),IF(3&lt;($F$24-2025),$D$24*$E$24*(1+Inputs!$C$8)^(3-1),IF(3=($F$24-2025),$D$24*MAX(($E$24*(1+Inputs!$C$8)^(3-1)),(Inputs!$C$6*(1+Inputs!$C$8)^(3-1)))*Inputs!$C$31,$D$24*MAX(($E$24*(1+Inputs!$C$8)^(($F$24-2025)-1)),(Inputs!$C$6*(1+Inputs!$C$8)^(($F$24-2025)-1)))*(1+Inputs!$C$8)^(3-($F$24-2025)))))</f>
        <v/>
      </c>
      <c r="K24" s="18">
        <f>IF($G$24="vacant",IF(4&lt;Inputs!$C$9,0,IF(4=Inputs!$C$9,$D$24*Inputs!$C$6,$D$24*Inputs!$C$6*(1+Inputs!$C$8)^(4-Inputs!$C$9))),IF(4&lt;($F$24-2025),$D$24*$E$24*(1+Inputs!$C$8)^(4-1),IF(4=($F$24-2025),$D$24*MAX(($E$24*(1+Inputs!$C$8)^(4-1)),(Inputs!$C$6*(1+Inputs!$C$8)^(4-1)))*Inputs!$C$31,$D$24*MAX(($E$24*(1+Inputs!$C$8)^(($F$24-2025)-1)),(Inputs!$C$6*(1+Inputs!$C$8)^(($F$24-2025)-1)))*(1+Inputs!$C$8)^(4-($F$24-2025)))))</f>
        <v/>
      </c>
      <c r="L24" s="18">
        <f>IF($G$24="vacant",IF(5&lt;Inputs!$C$9,0,IF(5=Inputs!$C$9,$D$24*Inputs!$C$6,$D$24*Inputs!$C$6*(1+Inputs!$C$8)^(5-Inputs!$C$9))),IF(5&lt;($F$24-2025),$D$24*$E$24*(1+Inputs!$C$8)^(5-1),IF(5=($F$24-2025),$D$24*MAX(($E$24*(1+Inputs!$C$8)^(5-1)),(Inputs!$C$6*(1+Inputs!$C$8)^(5-1)))*Inputs!$C$31,$D$24*MAX(($E$24*(1+Inputs!$C$8)^(($F$24-2025)-1)),(Inputs!$C$6*(1+Inputs!$C$8)^(($F$24-2025)-1)))*(1+Inputs!$C$8)^(5-($F$24-2025)))))</f>
        <v/>
      </c>
      <c r="M24" s="18">
        <f>IF($G$24="vacant",IF(6&lt;Inputs!$C$9,0,IF(6=Inputs!$C$9,$D$24*Inputs!$C$6,$D$24*Inputs!$C$6*(1+Inputs!$C$8)^(6-Inputs!$C$9))),IF(6&lt;($F$24-2025),$D$24*$E$24*(1+Inputs!$C$8)^(6-1),IF(6=($F$24-2025),$D$24*MAX(($E$24*(1+Inputs!$C$8)^(6-1)),(Inputs!$C$6*(1+Inputs!$C$8)^(6-1)))*Inputs!$C$31,$D$24*MAX(($E$24*(1+Inputs!$C$8)^(($F$24-2025)-1)),(Inputs!$C$6*(1+Inputs!$C$8)^(($F$24-2025)-1)))*(1+Inputs!$C$8)^(6-($F$24-2025)))))</f>
        <v/>
      </c>
      <c r="N24" s="18">
        <f>IF($G$24="vacant",IF(7&lt;Inputs!$C$9,0,IF(7=Inputs!$C$9,$D$24*Inputs!$C$6,$D$24*Inputs!$C$6*(1+Inputs!$C$8)^(7-Inputs!$C$9))),IF(7&lt;($F$24-2025),$D$24*$E$24*(1+Inputs!$C$8)^(7-1),IF(7=($F$24-2025),$D$24*MAX(($E$24*(1+Inputs!$C$8)^(7-1)),(Inputs!$C$6*(1+Inputs!$C$8)^(7-1)))*Inputs!$C$31,$D$24*MAX(($E$24*(1+Inputs!$C$8)^(($F$24-2025)-1)),(Inputs!$C$6*(1+Inputs!$C$8)^(($F$24-2025)-1)))*(1+Inputs!$C$8)^(7-($F$24-2025)))))</f>
        <v/>
      </c>
      <c r="O24" s="18">
        <f>IF($G$24="vacant",IF(8&lt;Inputs!$C$9,0,IF(8=Inputs!$C$9,$D$24*Inputs!$C$6,$D$24*Inputs!$C$6*(1+Inputs!$C$8)^(8-Inputs!$C$9))),IF(8&lt;($F$24-2025),$D$24*$E$24*(1+Inputs!$C$8)^(8-1),IF(8=($F$24-2025),$D$24*MAX(($E$24*(1+Inputs!$C$8)^(8-1)),(Inputs!$C$6*(1+Inputs!$C$8)^(8-1)))*Inputs!$C$31,$D$24*MAX(($E$24*(1+Inputs!$C$8)^(($F$24-2025)-1)),(Inputs!$C$6*(1+Inputs!$C$8)^(($F$24-2025)-1)))*(1+Inputs!$C$8)^(8-($F$24-2025)))))</f>
        <v/>
      </c>
      <c r="P24" s="18">
        <f>IF($G$24="vacant",IF(9&lt;Inputs!$C$9,0,IF(9=Inputs!$C$9,$D$24*Inputs!$C$6,$D$24*Inputs!$C$6*(1+Inputs!$C$8)^(9-Inputs!$C$9))),IF(9&lt;($F$24-2025),$D$24*$E$24*(1+Inputs!$C$8)^(9-1),IF(9=($F$24-2025),$D$24*MAX(($E$24*(1+Inputs!$C$8)^(9-1)),(Inputs!$C$6*(1+Inputs!$C$8)^(9-1)))*Inputs!$C$31,$D$24*MAX(($E$24*(1+Inputs!$C$8)^(($F$24-2025)-1)),(Inputs!$C$6*(1+Inputs!$C$8)^(($F$24-2025)-1)))*(1+Inputs!$C$8)^(9-($F$24-2025)))))</f>
        <v/>
      </c>
      <c r="Q24" s="18">
        <f>IF($G$24="vacant",IF(10&lt;Inputs!$C$9,0,IF(10=Inputs!$C$9,$D$24*Inputs!$C$6,$D$24*Inputs!$C$6*(1+Inputs!$C$8)^(10-Inputs!$C$9))),IF(10&lt;($F$24-2025),$D$24*$E$24*(1+Inputs!$C$8)^(10-1),IF(10=($F$24-2025),$D$24*MAX(($E$24*(1+Inputs!$C$8)^(10-1)),(Inputs!$C$6*(1+Inputs!$C$8)^(10-1)))*Inputs!$C$31,$D$24*MAX(($E$24*(1+Inputs!$C$8)^(($F$24-2025)-1)),(Inputs!$C$6*(1+Inputs!$C$8)^(($F$24-2025)-1)))*(1+Inputs!$C$8)^(10-($F$24-2025)))))</f>
        <v/>
      </c>
    </row>
    <row r="25">
      <c r="B25" t="inlineStr">
        <is>
          <t>110</t>
        </is>
      </c>
      <c r="C25" t="inlineStr">
        <is>
          <t>UPS Store</t>
        </is>
      </c>
      <c r="D25" s="16">
        <f>'Rent Roll'!$E$25</f>
        <v/>
      </c>
      <c r="E25" s="17">
        <f>'Rent Roll'!$F$25</f>
        <v/>
      </c>
      <c r="F25">
        <f>'Rent Roll'!$G$25</f>
        <v/>
      </c>
      <c r="G25">
        <f>'Rent Roll'!$H$25</f>
        <v/>
      </c>
      <c r="H25" s="18">
        <f>IF($G$25="vacant",IF(1&lt;Inputs!$C$9,0,IF(1=Inputs!$C$9,$D$25*Inputs!$C$6,$D$25*Inputs!$C$6*(1+Inputs!$C$8)^(1-Inputs!$C$9))),IF(1&lt;($F$25-2025),$D$25*$E$25*(1+Inputs!$C$8)^(1-1),IF(1=($F$25-2025),$D$25*MAX(($E$25*(1+Inputs!$C$8)^(1-1)),(Inputs!$C$6*(1+Inputs!$C$8)^(1-1)))*Inputs!$C$31,$D$25*MAX(($E$25*(1+Inputs!$C$8)^(($F$25-2025)-1)),(Inputs!$C$6*(1+Inputs!$C$8)^(($F$25-2025)-1)))*(1+Inputs!$C$8)^(1-($F$25-2025)))))</f>
        <v/>
      </c>
      <c r="I25" s="18">
        <f>IF($G$25="vacant",IF(2&lt;Inputs!$C$9,0,IF(2=Inputs!$C$9,$D$25*Inputs!$C$6,$D$25*Inputs!$C$6*(1+Inputs!$C$8)^(2-Inputs!$C$9))),IF(2&lt;($F$25-2025),$D$25*$E$25*(1+Inputs!$C$8)^(2-1),IF(2=($F$25-2025),$D$25*MAX(($E$25*(1+Inputs!$C$8)^(2-1)),(Inputs!$C$6*(1+Inputs!$C$8)^(2-1)))*Inputs!$C$31,$D$25*MAX(($E$25*(1+Inputs!$C$8)^(($F$25-2025)-1)),(Inputs!$C$6*(1+Inputs!$C$8)^(($F$25-2025)-1)))*(1+Inputs!$C$8)^(2-($F$25-2025)))))</f>
        <v/>
      </c>
      <c r="J25" s="18">
        <f>IF($G$25="vacant",IF(3&lt;Inputs!$C$9,0,IF(3=Inputs!$C$9,$D$25*Inputs!$C$6,$D$25*Inputs!$C$6*(1+Inputs!$C$8)^(3-Inputs!$C$9))),IF(3&lt;($F$25-2025),$D$25*$E$25*(1+Inputs!$C$8)^(3-1),IF(3=($F$25-2025),$D$25*MAX(($E$25*(1+Inputs!$C$8)^(3-1)),(Inputs!$C$6*(1+Inputs!$C$8)^(3-1)))*Inputs!$C$31,$D$25*MAX(($E$25*(1+Inputs!$C$8)^(($F$25-2025)-1)),(Inputs!$C$6*(1+Inputs!$C$8)^(($F$25-2025)-1)))*(1+Inputs!$C$8)^(3-($F$25-2025)))))</f>
        <v/>
      </c>
      <c r="K25" s="18">
        <f>IF($G$25="vacant",IF(4&lt;Inputs!$C$9,0,IF(4=Inputs!$C$9,$D$25*Inputs!$C$6,$D$25*Inputs!$C$6*(1+Inputs!$C$8)^(4-Inputs!$C$9))),IF(4&lt;($F$25-2025),$D$25*$E$25*(1+Inputs!$C$8)^(4-1),IF(4=($F$25-2025),$D$25*MAX(($E$25*(1+Inputs!$C$8)^(4-1)),(Inputs!$C$6*(1+Inputs!$C$8)^(4-1)))*Inputs!$C$31,$D$25*MAX(($E$25*(1+Inputs!$C$8)^(($F$25-2025)-1)),(Inputs!$C$6*(1+Inputs!$C$8)^(($F$25-2025)-1)))*(1+Inputs!$C$8)^(4-($F$25-2025)))))</f>
        <v/>
      </c>
      <c r="L25" s="18">
        <f>IF($G$25="vacant",IF(5&lt;Inputs!$C$9,0,IF(5=Inputs!$C$9,$D$25*Inputs!$C$6,$D$25*Inputs!$C$6*(1+Inputs!$C$8)^(5-Inputs!$C$9))),IF(5&lt;($F$25-2025),$D$25*$E$25*(1+Inputs!$C$8)^(5-1),IF(5=($F$25-2025),$D$25*MAX(($E$25*(1+Inputs!$C$8)^(5-1)),(Inputs!$C$6*(1+Inputs!$C$8)^(5-1)))*Inputs!$C$31,$D$25*MAX(($E$25*(1+Inputs!$C$8)^(($F$25-2025)-1)),(Inputs!$C$6*(1+Inputs!$C$8)^(($F$25-2025)-1)))*(1+Inputs!$C$8)^(5-($F$25-2025)))))</f>
        <v/>
      </c>
      <c r="M25" s="18">
        <f>IF($G$25="vacant",IF(6&lt;Inputs!$C$9,0,IF(6=Inputs!$C$9,$D$25*Inputs!$C$6,$D$25*Inputs!$C$6*(1+Inputs!$C$8)^(6-Inputs!$C$9))),IF(6&lt;($F$25-2025),$D$25*$E$25*(1+Inputs!$C$8)^(6-1),IF(6=($F$25-2025),$D$25*MAX(($E$25*(1+Inputs!$C$8)^(6-1)),(Inputs!$C$6*(1+Inputs!$C$8)^(6-1)))*Inputs!$C$31,$D$25*MAX(($E$25*(1+Inputs!$C$8)^(($F$25-2025)-1)),(Inputs!$C$6*(1+Inputs!$C$8)^(($F$25-2025)-1)))*(1+Inputs!$C$8)^(6-($F$25-2025)))))</f>
        <v/>
      </c>
      <c r="N25" s="18">
        <f>IF($G$25="vacant",IF(7&lt;Inputs!$C$9,0,IF(7=Inputs!$C$9,$D$25*Inputs!$C$6,$D$25*Inputs!$C$6*(1+Inputs!$C$8)^(7-Inputs!$C$9))),IF(7&lt;($F$25-2025),$D$25*$E$25*(1+Inputs!$C$8)^(7-1),IF(7=($F$25-2025),$D$25*MAX(($E$25*(1+Inputs!$C$8)^(7-1)),(Inputs!$C$6*(1+Inputs!$C$8)^(7-1)))*Inputs!$C$31,$D$25*MAX(($E$25*(1+Inputs!$C$8)^(($F$25-2025)-1)),(Inputs!$C$6*(1+Inputs!$C$8)^(($F$25-2025)-1)))*(1+Inputs!$C$8)^(7-($F$25-2025)))))</f>
        <v/>
      </c>
      <c r="O25" s="18">
        <f>IF($G$25="vacant",IF(8&lt;Inputs!$C$9,0,IF(8=Inputs!$C$9,$D$25*Inputs!$C$6,$D$25*Inputs!$C$6*(1+Inputs!$C$8)^(8-Inputs!$C$9))),IF(8&lt;($F$25-2025),$D$25*$E$25*(1+Inputs!$C$8)^(8-1),IF(8=($F$25-2025),$D$25*MAX(($E$25*(1+Inputs!$C$8)^(8-1)),(Inputs!$C$6*(1+Inputs!$C$8)^(8-1)))*Inputs!$C$31,$D$25*MAX(($E$25*(1+Inputs!$C$8)^(($F$25-2025)-1)),(Inputs!$C$6*(1+Inputs!$C$8)^(($F$25-2025)-1)))*(1+Inputs!$C$8)^(8-($F$25-2025)))))</f>
        <v/>
      </c>
      <c r="P25" s="18">
        <f>IF($G$25="vacant",IF(9&lt;Inputs!$C$9,0,IF(9=Inputs!$C$9,$D$25*Inputs!$C$6,$D$25*Inputs!$C$6*(1+Inputs!$C$8)^(9-Inputs!$C$9))),IF(9&lt;($F$25-2025),$D$25*$E$25*(1+Inputs!$C$8)^(9-1),IF(9=($F$25-2025),$D$25*MAX(($E$25*(1+Inputs!$C$8)^(9-1)),(Inputs!$C$6*(1+Inputs!$C$8)^(9-1)))*Inputs!$C$31,$D$25*MAX(($E$25*(1+Inputs!$C$8)^(($F$25-2025)-1)),(Inputs!$C$6*(1+Inputs!$C$8)^(($F$25-2025)-1)))*(1+Inputs!$C$8)^(9-($F$25-2025)))))</f>
        <v/>
      </c>
      <c r="Q25" s="18">
        <f>IF($G$25="vacant",IF(10&lt;Inputs!$C$9,0,IF(10=Inputs!$C$9,$D$25*Inputs!$C$6,$D$25*Inputs!$C$6*(1+Inputs!$C$8)^(10-Inputs!$C$9))),IF(10&lt;($F$25-2025),$D$25*$E$25*(1+Inputs!$C$8)^(10-1),IF(10=($F$25-2025),$D$25*MAX(($E$25*(1+Inputs!$C$8)^(10-1)),(Inputs!$C$6*(1+Inputs!$C$8)^(10-1)))*Inputs!$C$31,$D$25*MAX(($E$25*(1+Inputs!$C$8)^(($F$25-2025)-1)),(Inputs!$C$6*(1+Inputs!$C$8)^(($F$25-2025)-1)))*(1+Inputs!$C$8)^(10-($F$25-2025)))))</f>
        <v/>
      </c>
    </row>
    <row r="26">
      <c r="B26" s="8" t="inlineStr">
        <is>
          <t>TOTAL BASE RENT</t>
        </is>
      </c>
      <c r="D26" s="16">
        <f>SUM(D6:D25)</f>
        <v/>
      </c>
      <c r="H26" s="5">
        <f>SUM(H6:H25)</f>
        <v/>
      </c>
      <c r="I26" s="5">
        <f>SUM(I6:I25)</f>
        <v/>
      </c>
      <c r="J26" s="5">
        <f>SUM(J6:J25)</f>
        <v/>
      </c>
      <c r="K26" s="5">
        <f>SUM(K6:K25)</f>
        <v/>
      </c>
      <c r="L26" s="5">
        <f>SUM(L6:L25)</f>
        <v/>
      </c>
      <c r="M26" s="5">
        <f>SUM(M6:M25)</f>
        <v/>
      </c>
      <c r="N26" s="5">
        <f>SUM(N6:N25)</f>
        <v/>
      </c>
      <c r="O26" s="5">
        <f>SUM(O6:O25)</f>
        <v/>
      </c>
      <c r="P26" s="5">
        <f>SUM(P6:P25)</f>
        <v/>
      </c>
      <c r="Q26" s="5">
        <f>SUM(Q6:Q25)</f>
        <v/>
      </c>
    </row>
  </sheetData>
  <mergeCells count="1">
    <mergeCell ref="B2:Q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Q27"/>
  <sheetViews>
    <sheetView workbookViewId="0">
      <selection activeCell="A1" sqref="A1"/>
    </sheetView>
  </sheetViews>
  <sheetFormatPr baseColWidth="10" defaultColWidth="8.83203125" defaultRowHeight="15"/>
  <cols>
    <col width="3.6640625" customWidth="1" style="40" min="1" max="1"/>
    <col width="8.6640625" customWidth="1" style="40" min="2" max="2"/>
    <col width="22.6640625" customWidth="1" style="40" min="3" max="3"/>
    <col width="8.6640625" customWidth="1" style="40" min="4" max="4"/>
    <col width="10.6640625" customWidth="1" style="40" min="5" max="5"/>
    <col width="8.6640625" customWidth="1" style="40" min="6" max="6"/>
    <col width="13.6640625" customWidth="1" style="40" min="7" max="16"/>
  </cols>
  <sheetData>
    <row r="2" ht="16" customHeight="1" s="40">
      <c r="B2" s="41" t="inlineStr">
        <is>
          <t>TI/LC BY SUITE — YEAR BY YEAR</t>
        </is>
      </c>
    </row>
    <row r="5">
      <c r="B5" s="8" t="inlineStr">
        <is>
          <t>Suite</t>
        </is>
      </c>
      <c r="C5" s="8" t="inlineStr">
        <is>
          <t>Tenant</t>
        </is>
      </c>
      <c r="D5" s="8" t="inlineStr">
        <is>
          <t>SF</t>
        </is>
      </c>
      <c r="E5" s="8" t="inlineStr">
        <is>
          <t>Cur PSF</t>
        </is>
      </c>
      <c r="F5" s="8" t="inlineStr">
        <is>
          <t>Exp Yr</t>
        </is>
      </c>
      <c r="G5" s="8" t="inlineStr">
        <is>
          <t>Status</t>
        </is>
      </c>
      <c r="H5" s="8" t="inlineStr">
        <is>
          <t>Y1 (2026)</t>
        </is>
      </c>
      <c r="I5" s="8" t="inlineStr">
        <is>
          <t>Y2 (2027)</t>
        </is>
      </c>
      <c r="J5" s="8" t="inlineStr">
        <is>
          <t>Y3 (2028)</t>
        </is>
      </c>
      <c r="K5" s="8" t="inlineStr">
        <is>
          <t>Y4 (2029)</t>
        </is>
      </c>
      <c r="L5" s="8" t="inlineStr">
        <is>
          <t>Y5 (2030)</t>
        </is>
      </c>
      <c r="M5" s="8" t="inlineStr">
        <is>
          <t>Y6 (2031)</t>
        </is>
      </c>
      <c r="N5" s="8" t="inlineStr">
        <is>
          <t>Y7 (2032)</t>
        </is>
      </c>
      <c r="O5" s="8" t="inlineStr">
        <is>
          <t>Y8 (2033)</t>
        </is>
      </c>
      <c r="P5" s="8" t="inlineStr">
        <is>
          <t>Y9 (2034)</t>
        </is>
      </c>
      <c r="Q5" s="8" t="inlineStr">
        <is>
          <t>Y10 (2035)</t>
        </is>
      </c>
    </row>
    <row r="6">
      <c r="B6" t="inlineStr">
        <is>
          <t>200</t>
        </is>
      </c>
      <c r="C6" t="inlineStr">
        <is>
          <t>Salon Lofts</t>
        </is>
      </c>
      <c r="D6" s="16">
        <f>'Rent Roll'!$E$6</f>
        <v/>
      </c>
      <c r="E6" s="17">
        <f>'Rent Roll'!$F$6</f>
        <v/>
      </c>
      <c r="F6">
        <f>'Rent Roll'!$G$6</f>
        <v/>
      </c>
      <c r="G6">
        <f>'Rent Roll'!$H$6</f>
        <v/>
      </c>
      <c r="H6" s="19">
        <f>IF($G$6="vacant",IF(1=Inputs!$C$9,$D$6*Inputs!$C$7,0),IF(1=($F$6-2025),$D$6*Inputs!$C$7*Inputs!$C$32,0))</f>
        <v/>
      </c>
      <c r="I6" s="19">
        <f>IF($G$6="vacant",IF(2=Inputs!$C$9,$D$6*Inputs!$C$7,0),IF(2=($F$6-2025),$D$6*Inputs!$C$7*Inputs!$C$32,0))</f>
        <v/>
      </c>
      <c r="J6" s="19">
        <f>IF($G$6="vacant",IF(3=Inputs!$C$9,$D$6*Inputs!$C$7,0),IF(3=($F$6-2025),$D$6*Inputs!$C$7*Inputs!$C$32,0))</f>
        <v/>
      </c>
      <c r="K6" s="19">
        <f>IF($G$6="vacant",IF(4=Inputs!$C$9,$D$6*Inputs!$C$7,0),IF(4=($F$6-2025),$D$6*Inputs!$C$7*Inputs!$C$32,0))</f>
        <v/>
      </c>
      <c r="L6" s="19">
        <f>IF($G$6="vacant",IF(5=Inputs!$C$9,$D$6*Inputs!$C$7,0),IF(5=($F$6-2025),$D$6*Inputs!$C$7*Inputs!$C$32,0))</f>
        <v/>
      </c>
      <c r="M6" s="19">
        <f>IF($G$6="vacant",IF(6=Inputs!$C$9,$D$6*Inputs!$C$7,0),IF(6=($F$6-2025),$D$6*Inputs!$C$7*Inputs!$C$32,0))</f>
        <v/>
      </c>
      <c r="N6" s="19">
        <f>IF($G$6="vacant",IF(7=Inputs!$C$9,$D$6*Inputs!$C$7,0),IF(7=($F$6-2025),$D$6*Inputs!$C$7*Inputs!$C$32,0))</f>
        <v/>
      </c>
      <c r="O6" s="19">
        <f>IF($G$6="vacant",IF(8=Inputs!$C$9,$D$6*Inputs!$C$7,0),IF(8=($F$6-2025),$D$6*Inputs!$C$7*Inputs!$C$32,0))</f>
        <v/>
      </c>
      <c r="P6" s="19">
        <f>IF($G$6="vacant",IF(9=Inputs!$C$9,$D$6*Inputs!$C$7,0),IF(9=($F$6-2025),$D$6*Inputs!$C$7*Inputs!$C$32,0))</f>
        <v/>
      </c>
      <c r="Q6" s="19">
        <f>IF($G$6="vacant",IF(10=Inputs!$C$9,$D$6*Inputs!$C$7,0),IF(10=($F$6-2025),$D$6*Inputs!$C$7*Inputs!$C$32,0))</f>
        <v/>
      </c>
    </row>
    <row r="7">
      <c r="B7" t="inlineStr">
        <is>
          <t>1417</t>
        </is>
      </c>
      <c r="C7" t="inlineStr">
        <is>
          <t>Wild Fork Foods</t>
        </is>
      </c>
      <c r="D7" s="16">
        <f>'Rent Roll'!$E$7</f>
        <v/>
      </c>
      <c r="E7" s="17">
        <f>'Rent Roll'!$F$7</f>
        <v/>
      </c>
      <c r="F7">
        <f>'Rent Roll'!$G$7</f>
        <v/>
      </c>
      <c r="G7">
        <f>'Rent Roll'!$H$7</f>
        <v/>
      </c>
      <c r="H7" s="19">
        <f>IF($G$7="vacant",IF(1=Inputs!$C$9,$D$7*Inputs!$C$7,0),IF(1=($F$7-2025),$D$7*Inputs!$C$7*Inputs!$C$32,0))</f>
        <v/>
      </c>
      <c r="I7" s="19">
        <f>IF($G$7="vacant",IF(2=Inputs!$C$9,$D$7*Inputs!$C$7,0),IF(2=($F$7-2025),$D$7*Inputs!$C$7*Inputs!$C$32,0))</f>
        <v/>
      </c>
      <c r="J7" s="19">
        <f>IF($G$7="vacant",IF(3=Inputs!$C$9,$D$7*Inputs!$C$7,0),IF(3=($F$7-2025),$D$7*Inputs!$C$7*Inputs!$C$32,0))</f>
        <v/>
      </c>
      <c r="K7" s="19">
        <f>IF($G$7="vacant",IF(4=Inputs!$C$9,$D$7*Inputs!$C$7,0),IF(4=($F$7-2025),$D$7*Inputs!$C$7*Inputs!$C$32,0))</f>
        <v/>
      </c>
      <c r="L7" s="19">
        <f>IF($G$7="vacant",IF(5=Inputs!$C$9,$D$7*Inputs!$C$7,0),IF(5=($F$7-2025),$D$7*Inputs!$C$7*Inputs!$C$32,0))</f>
        <v/>
      </c>
      <c r="M7" s="19">
        <f>IF($G$7="vacant",IF(6=Inputs!$C$9,$D$7*Inputs!$C$7,0),IF(6=($F$7-2025),$D$7*Inputs!$C$7*Inputs!$C$32,0))</f>
        <v/>
      </c>
      <c r="N7" s="19">
        <f>IF($G$7="vacant",IF(7=Inputs!$C$9,$D$7*Inputs!$C$7,0),IF(7=($F$7-2025),$D$7*Inputs!$C$7*Inputs!$C$32,0))</f>
        <v/>
      </c>
      <c r="O7" s="19">
        <f>IF($G$7="vacant",IF(8=Inputs!$C$9,$D$7*Inputs!$C$7,0),IF(8=($F$7-2025),$D$7*Inputs!$C$7*Inputs!$C$32,0))</f>
        <v/>
      </c>
      <c r="P7" s="19">
        <f>IF($G$7="vacant",IF(9=Inputs!$C$9,$D$7*Inputs!$C$7,0),IF(9=($F$7-2025),$D$7*Inputs!$C$7*Inputs!$C$32,0))</f>
        <v/>
      </c>
      <c r="Q7" s="19">
        <f>IF($G$7="vacant",IF(10=Inputs!$C$9,$D$7*Inputs!$C$7,0),IF(10=($F$7-2025),$D$7*Inputs!$C$7*Inputs!$C$32,0))</f>
        <v/>
      </c>
    </row>
    <row r="8">
      <c r="B8" t="inlineStr">
        <is>
          <t>150</t>
        </is>
      </c>
      <c r="C8" t="inlineStr">
        <is>
          <t>Heights Wellness</t>
        </is>
      </c>
      <c r="D8" s="16">
        <f>'Rent Roll'!$E$8</f>
        <v/>
      </c>
      <c r="E8" s="17">
        <f>'Rent Roll'!$F$8</f>
        <v/>
      </c>
      <c r="F8">
        <f>'Rent Roll'!$G$8</f>
        <v/>
      </c>
      <c r="G8">
        <f>'Rent Roll'!$H$8</f>
        <v/>
      </c>
      <c r="H8" s="19">
        <f>IF($G$8="vacant",IF(1=Inputs!$C$9,$D$8*Inputs!$C$7,0),IF(1=($F$8-2025),$D$8*Inputs!$C$7*Inputs!$C$32,0))</f>
        <v/>
      </c>
      <c r="I8" s="19">
        <f>IF($G$8="vacant",IF(2=Inputs!$C$9,$D$8*Inputs!$C$7,0),IF(2=($F$8-2025),$D$8*Inputs!$C$7*Inputs!$C$32,0))</f>
        <v/>
      </c>
      <c r="J8" s="19">
        <f>IF($G$8="vacant",IF(3=Inputs!$C$9,$D$8*Inputs!$C$7,0),IF(3=($F$8-2025),$D$8*Inputs!$C$7*Inputs!$C$32,0))</f>
        <v/>
      </c>
      <c r="K8" s="19">
        <f>IF($G$8="vacant",IF(4=Inputs!$C$9,$D$8*Inputs!$C$7,0),IF(4=($F$8-2025),$D$8*Inputs!$C$7*Inputs!$C$32,0))</f>
        <v/>
      </c>
      <c r="L8" s="19">
        <f>IF($G$8="vacant",IF(5=Inputs!$C$9,$D$8*Inputs!$C$7,0),IF(5=($F$8-2025),$D$8*Inputs!$C$7*Inputs!$C$32,0))</f>
        <v/>
      </c>
      <c r="M8" s="19">
        <f>IF($G$8="vacant",IF(6=Inputs!$C$9,$D$8*Inputs!$C$7,0),IF(6=($F$8-2025),$D$8*Inputs!$C$7*Inputs!$C$32,0))</f>
        <v/>
      </c>
      <c r="N8" s="19">
        <f>IF($G$8="vacant",IF(7=Inputs!$C$9,$D$8*Inputs!$C$7,0),IF(7=($F$8-2025),$D$8*Inputs!$C$7*Inputs!$C$32,0))</f>
        <v/>
      </c>
      <c r="O8" s="19">
        <f>IF($G$8="vacant",IF(8=Inputs!$C$9,$D$8*Inputs!$C$7,0),IF(8=($F$8-2025),$D$8*Inputs!$C$7*Inputs!$C$32,0))</f>
        <v/>
      </c>
      <c r="P8" s="19">
        <f>IF($G$8="vacant",IF(9=Inputs!$C$9,$D$8*Inputs!$C$7,0),IF(9=($F$8-2025),$D$8*Inputs!$C$7*Inputs!$C$32,0))</f>
        <v/>
      </c>
      <c r="Q8" s="19">
        <f>IF($G$8="vacant",IF(10=Inputs!$C$9,$D$8*Inputs!$C$7,0),IF(10=($F$8-2025),$D$8*Inputs!$C$7*Inputs!$C$32,0))</f>
        <v/>
      </c>
    </row>
    <row r="9">
      <c r="B9" t="inlineStr">
        <is>
          <t>1415</t>
        </is>
      </c>
      <c r="C9" t="inlineStr">
        <is>
          <t>Vacant - Inline</t>
        </is>
      </c>
      <c r="D9" s="16">
        <f>'Rent Roll'!$E$9</f>
        <v/>
      </c>
      <c r="E9" s="17">
        <f>'Rent Roll'!$F$9</f>
        <v/>
      </c>
      <c r="F9">
        <f>'Rent Roll'!$G$9</f>
        <v/>
      </c>
      <c r="G9">
        <f>'Rent Roll'!$H$9</f>
        <v/>
      </c>
      <c r="H9" s="19">
        <f>IF($G$9="vacant",IF(1=Inputs!$C$9,$D$9*Inputs!$C$7,0),IF(1=($F$9-2025),$D$9*Inputs!$C$7*Inputs!$C$32,0))</f>
        <v/>
      </c>
      <c r="I9" s="19">
        <f>IF($G$9="vacant",IF(2=Inputs!$C$9,$D$9*Inputs!$C$7,0),IF(2=($F$9-2025),$D$9*Inputs!$C$7*Inputs!$C$32,0))</f>
        <v/>
      </c>
      <c r="J9" s="19">
        <f>IF($G$9="vacant",IF(3=Inputs!$C$9,$D$9*Inputs!$C$7,0),IF(3=($F$9-2025),$D$9*Inputs!$C$7*Inputs!$C$32,0))</f>
        <v/>
      </c>
      <c r="K9" s="19">
        <f>IF($G$9="vacant",IF(4=Inputs!$C$9,$D$9*Inputs!$C$7,0),IF(4=($F$9-2025),$D$9*Inputs!$C$7*Inputs!$C$32,0))</f>
        <v/>
      </c>
      <c r="L9" s="19">
        <f>IF($G$9="vacant",IF(5=Inputs!$C$9,$D$9*Inputs!$C$7,0),IF(5=($F$9-2025),$D$9*Inputs!$C$7*Inputs!$C$32,0))</f>
        <v/>
      </c>
      <c r="M9" s="19">
        <f>IF($G$9="vacant",IF(6=Inputs!$C$9,$D$9*Inputs!$C$7,0),IF(6=($F$9-2025),$D$9*Inputs!$C$7*Inputs!$C$32,0))</f>
        <v/>
      </c>
      <c r="N9" s="19">
        <f>IF($G$9="vacant",IF(7=Inputs!$C$9,$D$9*Inputs!$C$7,0),IF(7=($F$9-2025),$D$9*Inputs!$C$7*Inputs!$C$32,0))</f>
        <v/>
      </c>
      <c r="O9" s="19">
        <f>IF($G$9="vacant",IF(8=Inputs!$C$9,$D$9*Inputs!$C$7,0),IF(8=($F$9-2025),$D$9*Inputs!$C$7*Inputs!$C$32,0))</f>
        <v/>
      </c>
      <c r="P9" s="19">
        <f>IF($G$9="vacant",IF(9=Inputs!$C$9,$D$9*Inputs!$C$7,0),IF(9=($F$9-2025),$D$9*Inputs!$C$7*Inputs!$C$32,0))</f>
        <v/>
      </c>
      <c r="Q9" s="19">
        <f>IF($G$9="vacant",IF(10=Inputs!$C$9,$D$9*Inputs!$C$7,0),IF(10=($F$9-2025),$D$9*Inputs!$C$7*Inputs!$C$32,0))</f>
        <v/>
      </c>
    </row>
    <row r="10">
      <c r="B10" t="inlineStr">
        <is>
          <t>1413A</t>
        </is>
      </c>
      <c r="C10" t="inlineStr">
        <is>
          <t>Brassica Sandwiches</t>
        </is>
      </c>
      <c r="D10" s="16">
        <f>'Rent Roll'!$E$10</f>
        <v/>
      </c>
      <c r="E10" s="17">
        <f>'Rent Roll'!$F$10</f>
        <v/>
      </c>
      <c r="F10">
        <f>'Rent Roll'!$G$10</f>
        <v/>
      </c>
      <c r="G10">
        <f>'Rent Roll'!$H$10</f>
        <v/>
      </c>
      <c r="H10" s="19">
        <f>IF($G$10="vacant",IF(1=Inputs!$C$9,$D$10*Inputs!$C$7,0),IF(1=($F$10-2025),$D$10*Inputs!$C$7*Inputs!$C$32,0))</f>
        <v/>
      </c>
      <c r="I10" s="19">
        <f>IF($G$10="vacant",IF(2=Inputs!$C$9,$D$10*Inputs!$C$7,0),IF(2=($F$10-2025),$D$10*Inputs!$C$7*Inputs!$C$32,0))</f>
        <v/>
      </c>
      <c r="J10" s="19">
        <f>IF($G$10="vacant",IF(3=Inputs!$C$9,$D$10*Inputs!$C$7,0),IF(3=($F$10-2025),$D$10*Inputs!$C$7*Inputs!$C$32,0))</f>
        <v/>
      </c>
      <c r="K10" s="19">
        <f>IF($G$10="vacant",IF(4=Inputs!$C$9,$D$10*Inputs!$C$7,0),IF(4=($F$10-2025),$D$10*Inputs!$C$7*Inputs!$C$32,0))</f>
        <v/>
      </c>
      <c r="L10" s="19">
        <f>IF($G$10="vacant",IF(5=Inputs!$C$9,$D$10*Inputs!$C$7,0),IF(5=($F$10-2025),$D$10*Inputs!$C$7*Inputs!$C$32,0))</f>
        <v/>
      </c>
      <c r="M10" s="19">
        <f>IF($G$10="vacant",IF(6=Inputs!$C$9,$D$10*Inputs!$C$7,0),IF(6=($F$10-2025),$D$10*Inputs!$C$7*Inputs!$C$32,0))</f>
        <v/>
      </c>
      <c r="N10" s="19">
        <f>IF($G$10="vacant",IF(7=Inputs!$C$9,$D$10*Inputs!$C$7,0),IF(7=($F$10-2025),$D$10*Inputs!$C$7*Inputs!$C$32,0))</f>
        <v/>
      </c>
      <c r="O10" s="19">
        <f>IF($G$10="vacant",IF(8=Inputs!$C$9,$D$10*Inputs!$C$7,0),IF(8=($F$10-2025),$D$10*Inputs!$C$7*Inputs!$C$32,0))</f>
        <v/>
      </c>
      <c r="P10" s="19">
        <f>IF($G$10="vacant",IF(9=Inputs!$C$9,$D$10*Inputs!$C$7,0),IF(9=($F$10-2025),$D$10*Inputs!$C$7*Inputs!$C$32,0))</f>
        <v/>
      </c>
      <c r="Q10" s="19">
        <f>IF($G$10="vacant",IF(10=Inputs!$C$9,$D$10*Inputs!$C$7,0),IF(10=($F$10-2025),$D$10*Inputs!$C$7*Inputs!$C$32,0))</f>
        <v/>
      </c>
    </row>
    <row r="11">
      <c r="B11" t="inlineStr">
        <is>
          <t>170</t>
        </is>
      </c>
      <c r="C11" t="inlineStr">
        <is>
          <t>Isle Pedi Spa</t>
        </is>
      </c>
      <c r="D11" s="16">
        <f>'Rent Roll'!$E$11</f>
        <v/>
      </c>
      <c r="E11" s="17">
        <f>'Rent Roll'!$F$11</f>
        <v/>
      </c>
      <c r="F11">
        <f>'Rent Roll'!$G$11</f>
        <v/>
      </c>
      <c r="G11">
        <f>'Rent Roll'!$H$11</f>
        <v/>
      </c>
      <c r="H11" s="19">
        <f>IF($G$11="vacant",IF(1=Inputs!$C$9,$D$11*Inputs!$C$7,0),IF(1=($F$11-2025),$D$11*Inputs!$C$7*Inputs!$C$32,0))</f>
        <v/>
      </c>
      <c r="I11" s="19">
        <f>IF($G$11="vacant",IF(2=Inputs!$C$9,$D$11*Inputs!$C$7,0),IF(2=($F$11-2025),$D$11*Inputs!$C$7*Inputs!$C$32,0))</f>
        <v/>
      </c>
      <c r="J11" s="19">
        <f>IF($G$11="vacant",IF(3=Inputs!$C$9,$D$11*Inputs!$C$7,0),IF(3=($F$11-2025),$D$11*Inputs!$C$7*Inputs!$C$32,0))</f>
        <v/>
      </c>
      <c r="K11" s="19">
        <f>IF($G$11="vacant",IF(4=Inputs!$C$9,$D$11*Inputs!$C$7,0),IF(4=($F$11-2025),$D$11*Inputs!$C$7*Inputs!$C$32,0))</f>
        <v/>
      </c>
      <c r="L11" s="19">
        <f>IF($G$11="vacant",IF(5=Inputs!$C$9,$D$11*Inputs!$C$7,0),IF(5=($F$11-2025),$D$11*Inputs!$C$7*Inputs!$C$32,0))</f>
        <v/>
      </c>
      <c r="M11" s="19">
        <f>IF($G$11="vacant",IF(6=Inputs!$C$9,$D$11*Inputs!$C$7,0),IF(6=($F$11-2025),$D$11*Inputs!$C$7*Inputs!$C$32,0))</f>
        <v/>
      </c>
      <c r="N11" s="19">
        <f>IF($G$11="vacant",IF(7=Inputs!$C$9,$D$11*Inputs!$C$7,0),IF(7=($F$11-2025),$D$11*Inputs!$C$7*Inputs!$C$32,0))</f>
        <v/>
      </c>
      <c r="O11" s="19">
        <f>IF($G$11="vacant",IF(8=Inputs!$C$9,$D$11*Inputs!$C$7,0),IF(8=($F$11-2025),$D$11*Inputs!$C$7*Inputs!$C$32,0))</f>
        <v/>
      </c>
      <c r="P11" s="19">
        <f>IF($G$11="vacant",IF(9=Inputs!$C$9,$D$11*Inputs!$C$7,0),IF(9=($F$11-2025),$D$11*Inputs!$C$7*Inputs!$C$32,0))</f>
        <v/>
      </c>
      <c r="Q11" s="19">
        <f>IF($G$11="vacant",IF(10=Inputs!$C$9,$D$11*Inputs!$C$7,0),IF(10=($F$11-2025),$D$11*Inputs!$C$7*Inputs!$C$32,0))</f>
        <v/>
      </c>
    </row>
    <row r="12">
      <c r="B12" t="inlineStr">
        <is>
          <t>135</t>
        </is>
      </c>
      <c r="C12" t="inlineStr">
        <is>
          <t>Piola</t>
        </is>
      </c>
      <c r="D12" s="16">
        <f>'Rent Roll'!$E$12</f>
        <v/>
      </c>
      <c r="E12" s="17">
        <f>'Rent Roll'!$F$12</f>
        <v/>
      </c>
      <c r="F12">
        <f>'Rent Roll'!$G$12</f>
        <v/>
      </c>
      <c r="G12">
        <f>'Rent Roll'!$H$12</f>
        <v/>
      </c>
      <c r="H12" s="19">
        <f>IF($G$12="vacant",IF(1=Inputs!$C$9,$D$12*Inputs!$C$7,0),IF(1=($F$12-2025),$D$12*Inputs!$C$7*Inputs!$C$32,0))</f>
        <v/>
      </c>
      <c r="I12" s="19">
        <f>IF($G$12="vacant",IF(2=Inputs!$C$9,$D$12*Inputs!$C$7,0),IF(2=($F$12-2025),$D$12*Inputs!$C$7*Inputs!$C$32,0))</f>
        <v/>
      </c>
      <c r="J12" s="19">
        <f>IF($G$12="vacant",IF(3=Inputs!$C$9,$D$12*Inputs!$C$7,0),IF(3=($F$12-2025),$D$12*Inputs!$C$7*Inputs!$C$32,0))</f>
        <v/>
      </c>
      <c r="K12" s="19">
        <f>IF($G$12="vacant",IF(4=Inputs!$C$9,$D$12*Inputs!$C$7,0),IF(4=($F$12-2025),$D$12*Inputs!$C$7*Inputs!$C$32,0))</f>
        <v/>
      </c>
      <c r="L12" s="19">
        <f>IF($G$12="vacant",IF(5=Inputs!$C$9,$D$12*Inputs!$C$7,0),IF(5=($F$12-2025),$D$12*Inputs!$C$7*Inputs!$C$32,0))</f>
        <v/>
      </c>
      <c r="M12" s="19">
        <f>IF($G$12="vacant",IF(6=Inputs!$C$9,$D$12*Inputs!$C$7,0),IF(6=($F$12-2025),$D$12*Inputs!$C$7*Inputs!$C$32,0))</f>
        <v/>
      </c>
      <c r="N12" s="19">
        <f>IF($G$12="vacant",IF(7=Inputs!$C$9,$D$12*Inputs!$C$7,0),IF(7=($F$12-2025),$D$12*Inputs!$C$7*Inputs!$C$32,0))</f>
        <v/>
      </c>
      <c r="O12" s="19">
        <f>IF($G$12="vacant",IF(8=Inputs!$C$9,$D$12*Inputs!$C$7,0),IF(8=($F$12-2025),$D$12*Inputs!$C$7*Inputs!$C$32,0))</f>
        <v/>
      </c>
      <c r="P12" s="19">
        <f>IF($G$12="vacant",IF(9=Inputs!$C$9,$D$12*Inputs!$C$7,0),IF(9=($F$12-2025),$D$12*Inputs!$C$7*Inputs!$C$32,0))</f>
        <v/>
      </c>
      <c r="Q12" s="19">
        <f>IF($G$12="vacant",IF(10=Inputs!$C$9,$D$12*Inputs!$C$7,0),IF(10=($F$12-2025),$D$12*Inputs!$C$7*Inputs!$C$32,0))</f>
        <v/>
      </c>
    </row>
    <row r="13">
      <c r="B13" t="inlineStr">
        <is>
          <t>100</t>
        </is>
      </c>
      <c r="C13" t="inlineStr">
        <is>
          <t>Distinct Dental</t>
        </is>
      </c>
      <c r="D13" s="16">
        <f>'Rent Roll'!$E$13</f>
        <v/>
      </c>
      <c r="E13" s="17">
        <f>'Rent Roll'!$F$13</f>
        <v/>
      </c>
      <c r="F13">
        <f>'Rent Roll'!$G$13</f>
        <v/>
      </c>
      <c r="G13">
        <f>'Rent Roll'!$H$13</f>
        <v/>
      </c>
      <c r="H13" s="19">
        <f>IF($G$13="vacant",IF(1=Inputs!$C$9,$D$13*Inputs!$C$7,0),IF(1=($F$13-2025),$D$13*Inputs!$C$7*Inputs!$C$32,0))</f>
        <v/>
      </c>
      <c r="I13" s="19">
        <f>IF($G$13="vacant",IF(2=Inputs!$C$9,$D$13*Inputs!$C$7,0),IF(2=($F$13-2025),$D$13*Inputs!$C$7*Inputs!$C$32,0))</f>
        <v/>
      </c>
      <c r="J13" s="19">
        <f>IF($G$13="vacant",IF(3=Inputs!$C$9,$D$13*Inputs!$C$7,0),IF(3=($F$13-2025),$D$13*Inputs!$C$7*Inputs!$C$32,0))</f>
        <v/>
      </c>
      <c r="K13" s="19">
        <f>IF($G$13="vacant",IF(4=Inputs!$C$9,$D$13*Inputs!$C$7,0),IF(4=($F$13-2025),$D$13*Inputs!$C$7*Inputs!$C$32,0))</f>
        <v/>
      </c>
      <c r="L13" s="19">
        <f>IF($G$13="vacant",IF(5=Inputs!$C$9,$D$13*Inputs!$C$7,0),IF(5=($F$13-2025),$D$13*Inputs!$C$7*Inputs!$C$32,0))</f>
        <v/>
      </c>
      <c r="M13" s="19">
        <f>IF($G$13="vacant",IF(6=Inputs!$C$9,$D$13*Inputs!$C$7,0),IF(6=($F$13-2025),$D$13*Inputs!$C$7*Inputs!$C$32,0))</f>
        <v/>
      </c>
      <c r="N13" s="19">
        <f>IF($G$13="vacant",IF(7=Inputs!$C$9,$D$13*Inputs!$C$7,0),IF(7=($F$13-2025),$D$13*Inputs!$C$7*Inputs!$C$32,0))</f>
        <v/>
      </c>
      <c r="O13" s="19">
        <f>IF($G$13="vacant",IF(8=Inputs!$C$9,$D$13*Inputs!$C$7,0),IF(8=($F$13-2025),$D$13*Inputs!$C$7*Inputs!$C$32,0))</f>
        <v/>
      </c>
      <c r="P13" s="19">
        <f>IF($G$13="vacant",IF(9=Inputs!$C$9,$D$13*Inputs!$C$7,0),IF(9=($F$13-2025),$D$13*Inputs!$C$7*Inputs!$C$32,0))</f>
        <v/>
      </c>
      <c r="Q13" s="19">
        <f>IF($G$13="vacant",IF(10=Inputs!$C$9,$D$13*Inputs!$C$7,0),IF(10=($F$13-2025),$D$13*Inputs!$C$7*Inputs!$C$32,0))</f>
        <v/>
      </c>
    </row>
    <row r="14">
      <c r="B14" t="inlineStr">
        <is>
          <t>280</t>
        </is>
      </c>
      <c r="C14" t="inlineStr">
        <is>
          <t>School of Rock</t>
        </is>
      </c>
      <c r="D14" s="16">
        <f>'Rent Roll'!$E$14</f>
        <v/>
      </c>
      <c r="E14" s="17">
        <f>'Rent Roll'!$F$14</f>
        <v/>
      </c>
      <c r="F14">
        <f>'Rent Roll'!$G$14</f>
        <v/>
      </c>
      <c r="G14">
        <f>'Rent Roll'!$H$14</f>
        <v/>
      </c>
      <c r="H14" s="19">
        <f>IF($G$14="vacant",IF(1=Inputs!$C$9,$D$14*Inputs!$C$7,0),IF(1=($F$14-2025),$D$14*Inputs!$C$7*Inputs!$C$32,0))</f>
        <v/>
      </c>
      <c r="I14" s="19">
        <f>IF($G$14="vacant",IF(2=Inputs!$C$9,$D$14*Inputs!$C$7,0),IF(2=($F$14-2025),$D$14*Inputs!$C$7*Inputs!$C$32,0))</f>
        <v/>
      </c>
      <c r="J14" s="19">
        <f>IF($G$14="vacant",IF(3=Inputs!$C$9,$D$14*Inputs!$C$7,0),IF(3=($F$14-2025),$D$14*Inputs!$C$7*Inputs!$C$32,0))</f>
        <v/>
      </c>
      <c r="K14" s="19">
        <f>IF($G$14="vacant",IF(4=Inputs!$C$9,$D$14*Inputs!$C$7,0),IF(4=($F$14-2025),$D$14*Inputs!$C$7*Inputs!$C$32,0))</f>
        <v/>
      </c>
      <c r="L14" s="19">
        <f>IF($G$14="vacant",IF(5=Inputs!$C$9,$D$14*Inputs!$C$7,0),IF(5=($F$14-2025),$D$14*Inputs!$C$7*Inputs!$C$32,0))</f>
        <v/>
      </c>
      <c r="M14" s="19">
        <f>IF($G$14="vacant",IF(6=Inputs!$C$9,$D$14*Inputs!$C$7,0),IF(6=($F$14-2025),$D$14*Inputs!$C$7*Inputs!$C$32,0))</f>
        <v/>
      </c>
      <c r="N14" s="19">
        <f>IF($G$14="vacant",IF(7=Inputs!$C$9,$D$14*Inputs!$C$7,0),IF(7=($F$14-2025),$D$14*Inputs!$C$7*Inputs!$C$32,0))</f>
        <v/>
      </c>
      <c r="O14" s="19">
        <f>IF($G$14="vacant",IF(8=Inputs!$C$9,$D$14*Inputs!$C$7,0),IF(8=($F$14-2025),$D$14*Inputs!$C$7*Inputs!$C$32,0))</f>
        <v/>
      </c>
      <c r="P14" s="19">
        <f>IF($G$14="vacant",IF(9=Inputs!$C$9,$D$14*Inputs!$C$7,0),IF(9=($F$14-2025),$D$14*Inputs!$C$7*Inputs!$C$32,0))</f>
        <v/>
      </c>
      <c r="Q14" s="19">
        <f>IF($G$14="vacant",IF(10=Inputs!$C$9,$D$14*Inputs!$C$7,0),IF(10=($F$14-2025),$D$14*Inputs!$C$7*Inputs!$C$32,0))</f>
        <v/>
      </c>
    </row>
    <row r="15">
      <c r="B15" t="inlineStr">
        <is>
          <t>260</t>
        </is>
      </c>
      <c r="C15" t="inlineStr">
        <is>
          <t>Vacant - Retail</t>
        </is>
      </c>
      <c r="D15" s="16">
        <f>'Rent Roll'!$E$15</f>
        <v/>
      </c>
      <c r="E15" s="17">
        <f>'Rent Roll'!$F$15</f>
        <v/>
      </c>
      <c r="F15">
        <f>'Rent Roll'!$G$15</f>
        <v/>
      </c>
      <c r="G15">
        <f>'Rent Roll'!$H$15</f>
        <v/>
      </c>
      <c r="H15" s="19">
        <f>IF($G$15="vacant",IF(1=Inputs!$C$9,$D$15*Inputs!$C$7,0),IF(1=($F$15-2025),$D$15*Inputs!$C$7*Inputs!$C$32,0))</f>
        <v/>
      </c>
      <c r="I15" s="19">
        <f>IF($G$15="vacant",IF(2=Inputs!$C$9,$D$15*Inputs!$C$7,0),IF(2=($F$15-2025),$D$15*Inputs!$C$7*Inputs!$C$32,0))</f>
        <v/>
      </c>
      <c r="J15" s="19">
        <f>IF($G$15="vacant",IF(3=Inputs!$C$9,$D$15*Inputs!$C$7,0),IF(3=($F$15-2025),$D$15*Inputs!$C$7*Inputs!$C$32,0))</f>
        <v/>
      </c>
      <c r="K15" s="19">
        <f>IF($G$15="vacant",IF(4=Inputs!$C$9,$D$15*Inputs!$C$7,0),IF(4=($F$15-2025),$D$15*Inputs!$C$7*Inputs!$C$32,0))</f>
        <v/>
      </c>
      <c r="L15" s="19">
        <f>IF($G$15="vacant",IF(5=Inputs!$C$9,$D$15*Inputs!$C$7,0),IF(5=($F$15-2025),$D$15*Inputs!$C$7*Inputs!$C$32,0))</f>
        <v/>
      </c>
      <c r="M15" s="19">
        <f>IF($G$15="vacant",IF(6=Inputs!$C$9,$D$15*Inputs!$C$7,0),IF(6=($F$15-2025),$D$15*Inputs!$C$7*Inputs!$C$32,0))</f>
        <v/>
      </c>
      <c r="N15" s="19">
        <f>IF($G$15="vacant",IF(7=Inputs!$C$9,$D$15*Inputs!$C$7,0),IF(7=($F$15-2025),$D$15*Inputs!$C$7*Inputs!$C$32,0))</f>
        <v/>
      </c>
      <c r="O15" s="19">
        <f>IF($G$15="vacant",IF(8=Inputs!$C$9,$D$15*Inputs!$C$7,0),IF(8=($F$15-2025),$D$15*Inputs!$C$7*Inputs!$C$32,0))</f>
        <v/>
      </c>
      <c r="P15" s="19">
        <f>IF($G$15="vacant",IF(9=Inputs!$C$9,$D$15*Inputs!$C$7,0),IF(9=($F$15-2025),$D$15*Inputs!$C$7*Inputs!$C$32,0))</f>
        <v/>
      </c>
      <c r="Q15" s="19">
        <f>IF($G$15="vacant",IF(10=Inputs!$C$9,$D$15*Inputs!$C$7,0),IF(10=($F$15-2025),$D$15*Inputs!$C$7*Inputs!$C$32,0))</f>
        <v/>
      </c>
    </row>
    <row r="16">
      <c r="B16" t="inlineStr">
        <is>
          <t>225</t>
        </is>
      </c>
      <c r="C16" t="inlineStr">
        <is>
          <t>Amazing Lash Studio</t>
        </is>
      </c>
      <c r="D16" s="16">
        <f>'Rent Roll'!$E$16</f>
        <v/>
      </c>
      <c r="E16" s="17">
        <f>'Rent Roll'!$F$16</f>
        <v/>
      </c>
      <c r="F16">
        <f>'Rent Roll'!$G$16</f>
        <v/>
      </c>
      <c r="G16">
        <f>'Rent Roll'!$H$16</f>
        <v/>
      </c>
      <c r="H16" s="19">
        <f>IF($G$16="vacant",IF(1=Inputs!$C$9,$D$16*Inputs!$C$7,0),IF(1=($F$16-2025),$D$16*Inputs!$C$7*Inputs!$C$32,0))</f>
        <v/>
      </c>
      <c r="I16" s="19">
        <f>IF($G$16="vacant",IF(2=Inputs!$C$9,$D$16*Inputs!$C$7,0),IF(2=($F$16-2025),$D$16*Inputs!$C$7*Inputs!$C$32,0))</f>
        <v/>
      </c>
      <c r="J16" s="19">
        <f>IF($G$16="vacant",IF(3=Inputs!$C$9,$D$16*Inputs!$C$7,0),IF(3=($F$16-2025),$D$16*Inputs!$C$7*Inputs!$C$32,0))</f>
        <v/>
      </c>
      <c r="K16" s="19">
        <f>IF($G$16="vacant",IF(4=Inputs!$C$9,$D$16*Inputs!$C$7,0),IF(4=($F$16-2025),$D$16*Inputs!$C$7*Inputs!$C$32,0))</f>
        <v/>
      </c>
      <c r="L16" s="19">
        <f>IF($G$16="vacant",IF(5=Inputs!$C$9,$D$16*Inputs!$C$7,0),IF(5=($F$16-2025),$D$16*Inputs!$C$7*Inputs!$C$32,0))</f>
        <v/>
      </c>
      <c r="M16" s="19">
        <f>IF($G$16="vacant",IF(6=Inputs!$C$9,$D$16*Inputs!$C$7,0),IF(6=($F$16-2025),$D$16*Inputs!$C$7*Inputs!$C$32,0))</f>
        <v/>
      </c>
      <c r="N16" s="19">
        <f>IF($G$16="vacant",IF(7=Inputs!$C$9,$D$16*Inputs!$C$7,0),IF(7=($F$16-2025),$D$16*Inputs!$C$7*Inputs!$C$32,0))</f>
        <v/>
      </c>
      <c r="O16" s="19">
        <f>IF($G$16="vacant",IF(8=Inputs!$C$9,$D$16*Inputs!$C$7,0),IF(8=($F$16-2025),$D$16*Inputs!$C$7*Inputs!$C$32,0))</f>
        <v/>
      </c>
      <c r="P16" s="19">
        <f>IF($G$16="vacant",IF(9=Inputs!$C$9,$D$16*Inputs!$C$7,0),IF(9=($F$16-2025),$D$16*Inputs!$C$7*Inputs!$C$32,0))</f>
        <v/>
      </c>
      <c r="Q16" s="19">
        <f>IF($G$16="vacant",IF(10=Inputs!$C$9,$D$16*Inputs!$C$7,0),IF(10=($F$16-2025),$D$16*Inputs!$C$7*Inputs!$C$32,0))</f>
        <v/>
      </c>
    </row>
    <row r="17">
      <c r="B17" t="inlineStr">
        <is>
          <t>230</t>
        </is>
      </c>
      <c r="C17" t="inlineStr">
        <is>
          <t>Amerejuve Medspa</t>
        </is>
      </c>
      <c r="D17" s="16">
        <f>'Rent Roll'!$E$17</f>
        <v/>
      </c>
      <c r="E17" s="17">
        <f>'Rent Roll'!$F$17</f>
        <v/>
      </c>
      <c r="F17">
        <f>'Rent Roll'!$G$17</f>
        <v/>
      </c>
      <c r="G17">
        <f>'Rent Roll'!$H$17</f>
        <v/>
      </c>
      <c r="H17" s="19">
        <f>IF($G$17="vacant",IF(1=Inputs!$C$9,$D$17*Inputs!$C$7,0),IF(1=($F$17-2025),$D$17*Inputs!$C$7*Inputs!$C$32,0))</f>
        <v/>
      </c>
      <c r="I17" s="19">
        <f>IF($G$17="vacant",IF(2=Inputs!$C$9,$D$17*Inputs!$C$7,0),IF(2=($F$17-2025),$D$17*Inputs!$C$7*Inputs!$C$32,0))</f>
        <v/>
      </c>
      <c r="J17" s="19">
        <f>IF($G$17="vacant",IF(3=Inputs!$C$9,$D$17*Inputs!$C$7,0),IF(3=($F$17-2025),$D$17*Inputs!$C$7*Inputs!$C$32,0))</f>
        <v/>
      </c>
      <c r="K17" s="19">
        <f>IF($G$17="vacant",IF(4=Inputs!$C$9,$D$17*Inputs!$C$7,0),IF(4=($F$17-2025),$D$17*Inputs!$C$7*Inputs!$C$32,0))</f>
        <v/>
      </c>
      <c r="L17" s="19">
        <f>IF($G$17="vacant",IF(5=Inputs!$C$9,$D$17*Inputs!$C$7,0),IF(5=($F$17-2025),$D$17*Inputs!$C$7*Inputs!$C$32,0))</f>
        <v/>
      </c>
      <c r="M17" s="19">
        <f>IF($G$17="vacant",IF(6=Inputs!$C$9,$D$17*Inputs!$C$7,0),IF(6=($F$17-2025),$D$17*Inputs!$C$7*Inputs!$C$32,0))</f>
        <v/>
      </c>
      <c r="N17" s="19">
        <f>IF($G$17="vacant",IF(7=Inputs!$C$9,$D$17*Inputs!$C$7,0),IF(7=($F$17-2025),$D$17*Inputs!$C$7*Inputs!$C$32,0))</f>
        <v/>
      </c>
      <c r="O17" s="19">
        <f>IF($G$17="vacant",IF(8=Inputs!$C$9,$D$17*Inputs!$C$7,0),IF(8=($F$17-2025),$D$17*Inputs!$C$7*Inputs!$C$32,0))</f>
        <v/>
      </c>
      <c r="P17" s="19">
        <f>IF($G$17="vacant",IF(9=Inputs!$C$9,$D$17*Inputs!$C$7,0),IF(9=($F$17-2025),$D$17*Inputs!$C$7*Inputs!$C$32,0))</f>
        <v/>
      </c>
      <c r="Q17" s="19">
        <f>IF($G$17="vacant",IF(10=Inputs!$C$9,$D$17*Inputs!$C$7,0),IF(10=($F$17-2025),$D$17*Inputs!$C$7*Inputs!$C$32,0))</f>
        <v/>
      </c>
    </row>
    <row r="18">
      <c r="B18" t="inlineStr">
        <is>
          <t>115</t>
        </is>
      </c>
      <c r="C18" t="inlineStr">
        <is>
          <t>Clara Rose Boutique</t>
        </is>
      </c>
      <c r="D18" s="16">
        <f>'Rent Roll'!$E$18</f>
        <v/>
      </c>
      <c r="E18" s="17">
        <f>'Rent Roll'!$F$18</f>
        <v/>
      </c>
      <c r="F18">
        <f>'Rent Roll'!$G$18</f>
        <v/>
      </c>
      <c r="G18">
        <f>'Rent Roll'!$H$18</f>
        <v/>
      </c>
      <c r="H18" s="19">
        <f>IF($G$18="vacant",IF(1=Inputs!$C$9,$D$18*Inputs!$C$7,0),IF(1=($F$18-2025),$D$18*Inputs!$C$7*Inputs!$C$32,0))</f>
        <v/>
      </c>
      <c r="I18" s="19">
        <f>IF($G$18="vacant",IF(2=Inputs!$C$9,$D$18*Inputs!$C$7,0),IF(2=($F$18-2025),$D$18*Inputs!$C$7*Inputs!$C$32,0))</f>
        <v/>
      </c>
      <c r="J18" s="19">
        <f>IF($G$18="vacant",IF(3=Inputs!$C$9,$D$18*Inputs!$C$7,0),IF(3=($F$18-2025),$D$18*Inputs!$C$7*Inputs!$C$32,0))</f>
        <v/>
      </c>
      <c r="K18" s="19">
        <f>IF($G$18="vacant",IF(4=Inputs!$C$9,$D$18*Inputs!$C$7,0),IF(4=($F$18-2025),$D$18*Inputs!$C$7*Inputs!$C$32,0))</f>
        <v/>
      </c>
      <c r="L18" s="19">
        <f>IF($G$18="vacant",IF(5=Inputs!$C$9,$D$18*Inputs!$C$7,0),IF(5=($F$18-2025),$D$18*Inputs!$C$7*Inputs!$C$32,0))</f>
        <v/>
      </c>
      <c r="M18" s="19">
        <f>IF($G$18="vacant",IF(6=Inputs!$C$9,$D$18*Inputs!$C$7,0),IF(6=($F$18-2025),$D$18*Inputs!$C$7*Inputs!$C$32,0))</f>
        <v/>
      </c>
      <c r="N18" s="19">
        <f>IF($G$18="vacant",IF(7=Inputs!$C$9,$D$18*Inputs!$C$7,0),IF(7=($F$18-2025),$D$18*Inputs!$C$7*Inputs!$C$32,0))</f>
        <v/>
      </c>
      <c r="O18" s="19">
        <f>IF($G$18="vacant",IF(8=Inputs!$C$9,$D$18*Inputs!$C$7,0),IF(8=($F$18-2025),$D$18*Inputs!$C$7*Inputs!$C$32,0))</f>
        <v/>
      </c>
      <c r="P18" s="19">
        <f>IF($G$18="vacant",IF(9=Inputs!$C$9,$D$18*Inputs!$C$7,0),IF(9=($F$18-2025),$D$18*Inputs!$C$7*Inputs!$C$32,0))</f>
        <v/>
      </c>
      <c r="Q18" s="19">
        <f>IF($G$18="vacant",IF(10=Inputs!$C$9,$D$18*Inputs!$C$7,0),IF(10=($F$18-2025),$D$18*Inputs!$C$7*Inputs!$C$32,0))</f>
        <v/>
      </c>
    </row>
    <row r="19">
      <c r="B19" t="inlineStr">
        <is>
          <t>130</t>
        </is>
      </c>
      <c r="C19" t="inlineStr">
        <is>
          <t>Ozone Bar</t>
        </is>
      </c>
      <c r="D19" s="16">
        <f>'Rent Roll'!$E$19</f>
        <v/>
      </c>
      <c r="E19" s="17">
        <f>'Rent Roll'!$F$19</f>
        <v/>
      </c>
      <c r="F19">
        <f>'Rent Roll'!$G$19</f>
        <v/>
      </c>
      <c r="G19">
        <f>'Rent Roll'!$H$19</f>
        <v/>
      </c>
      <c r="H19" s="19">
        <f>IF($G$19="vacant",IF(1=Inputs!$C$9,$D$19*Inputs!$C$7,0),IF(1=($F$19-2025),$D$19*Inputs!$C$7*Inputs!$C$32,0))</f>
        <v/>
      </c>
      <c r="I19" s="19">
        <f>IF($G$19="vacant",IF(2=Inputs!$C$9,$D$19*Inputs!$C$7,0),IF(2=($F$19-2025),$D$19*Inputs!$C$7*Inputs!$C$32,0))</f>
        <v/>
      </c>
      <c r="J19" s="19">
        <f>IF($G$19="vacant",IF(3=Inputs!$C$9,$D$19*Inputs!$C$7,0),IF(3=($F$19-2025),$D$19*Inputs!$C$7*Inputs!$C$32,0))</f>
        <v/>
      </c>
      <c r="K19" s="19">
        <f>IF($G$19="vacant",IF(4=Inputs!$C$9,$D$19*Inputs!$C$7,0),IF(4=($F$19-2025),$D$19*Inputs!$C$7*Inputs!$C$32,0))</f>
        <v/>
      </c>
      <c r="L19" s="19">
        <f>IF($G$19="vacant",IF(5=Inputs!$C$9,$D$19*Inputs!$C$7,0),IF(5=($F$19-2025),$D$19*Inputs!$C$7*Inputs!$C$32,0))</f>
        <v/>
      </c>
      <c r="M19" s="19">
        <f>IF($G$19="vacant",IF(6=Inputs!$C$9,$D$19*Inputs!$C$7,0),IF(6=($F$19-2025),$D$19*Inputs!$C$7*Inputs!$C$32,0))</f>
        <v/>
      </c>
      <c r="N19" s="19">
        <f>IF($G$19="vacant",IF(7=Inputs!$C$9,$D$19*Inputs!$C$7,0),IF(7=($F$19-2025),$D$19*Inputs!$C$7*Inputs!$C$32,0))</f>
        <v/>
      </c>
      <c r="O19" s="19">
        <f>IF($G$19="vacant",IF(8=Inputs!$C$9,$D$19*Inputs!$C$7,0),IF(8=($F$19-2025),$D$19*Inputs!$C$7*Inputs!$C$32,0))</f>
        <v/>
      </c>
      <c r="P19" s="19">
        <f>IF($G$19="vacant",IF(9=Inputs!$C$9,$D$19*Inputs!$C$7,0),IF(9=($F$19-2025),$D$19*Inputs!$C$7*Inputs!$C$32,0))</f>
        <v/>
      </c>
      <c r="Q19" s="19">
        <f>IF($G$19="vacant",IF(10=Inputs!$C$9,$D$19*Inputs!$C$7,0),IF(10=($F$19-2025),$D$19*Inputs!$C$7*Inputs!$C$32,0))</f>
        <v/>
      </c>
    </row>
    <row r="20">
      <c r="B20" t="inlineStr">
        <is>
          <t>120</t>
        </is>
      </c>
      <c r="C20" t="inlineStr">
        <is>
          <t>Alloy Personal Trng</t>
        </is>
      </c>
      <c r="D20" s="16">
        <f>'Rent Roll'!$E$20</f>
        <v/>
      </c>
      <c r="E20" s="17">
        <f>'Rent Roll'!$F$20</f>
        <v/>
      </c>
      <c r="F20">
        <f>'Rent Roll'!$G$20</f>
        <v/>
      </c>
      <c r="G20">
        <f>'Rent Roll'!$H$20</f>
        <v/>
      </c>
      <c r="H20" s="19">
        <f>IF($G$20="vacant",IF(1=Inputs!$C$9,$D$20*Inputs!$C$7,0),IF(1=($F$20-2025),$D$20*Inputs!$C$7*Inputs!$C$32,0))</f>
        <v/>
      </c>
      <c r="I20" s="19">
        <f>IF($G$20="vacant",IF(2=Inputs!$C$9,$D$20*Inputs!$C$7,0),IF(2=($F$20-2025),$D$20*Inputs!$C$7*Inputs!$C$32,0))</f>
        <v/>
      </c>
      <c r="J20" s="19">
        <f>IF($G$20="vacant",IF(3=Inputs!$C$9,$D$20*Inputs!$C$7,0),IF(3=($F$20-2025),$D$20*Inputs!$C$7*Inputs!$C$32,0))</f>
        <v/>
      </c>
      <c r="K20" s="19">
        <f>IF($G$20="vacant",IF(4=Inputs!$C$9,$D$20*Inputs!$C$7,0),IF(4=($F$20-2025),$D$20*Inputs!$C$7*Inputs!$C$32,0))</f>
        <v/>
      </c>
      <c r="L20" s="19">
        <f>IF($G$20="vacant",IF(5=Inputs!$C$9,$D$20*Inputs!$C$7,0),IF(5=($F$20-2025),$D$20*Inputs!$C$7*Inputs!$C$32,0))</f>
        <v/>
      </c>
      <c r="M20" s="19">
        <f>IF($G$20="vacant",IF(6=Inputs!$C$9,$D$20*Inputs!$C$7,0),IF(6=($F$20-2025),$D$20*Inputs!$C$7*Inputs!$C$32,0))</f>
        <v/>
      </c>
      <c r="N20" s="19">
        <f>IF($G$20="vacant",IF(7=Inputs!$C$9,$D$20*Inputs!$C$7,0),IF(7=($F$20-2025),$D$20*Inputs!$C$7*Inputs!$C$32,0))</f>
        <v/>
      </c>
      <c r="O20" s="19">
        <f>IF($G$20="vacant",IF(8=Inputs!$C$9,$D$20*Inputs!$C$7,0),IF(8=($F$20-2025),$D$20*Inputs!$C$7*Inputs!$C$32,0))</f>
        <v/>
      </c>
      <c r="P20" s="19">
        <f>IF($G$20="vacant",IF(9=Inputs!$C$9,$D$20*Inputs!$C$7,0),IF(9=($F$20-2025),$D$20*Inputs!$C$7*Inputs!$C$32,0))</f>
        <v/>
      </c>
      <c r="Q20" s="19">
        <f>IF($G$20="vacant",IF(10=Inputs!$C$9,$D$20*Inputs!$C$7,0),IF(10=($F$20-2025),$D$20*Inputs!$C$7*Inputs!$C$32,0))</f>
        <v/>
      </c>
    </row>
    <row r="21">
      <c r="B21" t="inlineStr">
        <is>
          <t>160</t>
        </is>
      </c>
      <c r="C21" t="inlineStr">
        <is>
          <t>European Wax Center</t>
        </is>
      </c>
      <c r="D21" s="16">
        <f>'Rent Roll'!$E$21</f>
        <v/>
      </c>
      <c r="E21" s="17">
        <f>'Rent Roll'!$F$21</f>
        <v/>
      </c>
      <c r="F21">
        <f>'Rent Roll'!$G$21</f>
        <v/>
      </c>
      <c r="G21">
        <f>'Rent Roll'!$H$21</f>
        <v/>
      </c>
      <c r="H21" s="19">
        <f>IF($G$21="vacant",IF(1=Inputs!$C$9,$D$21*Inputs!$C$7,0),IF(1=($F$21-2025),$D$21*Inputs!$C$7*Inputs!$C$32,0))</f>
        <v/>
      </c>
      <c r="I21" s="19">
        <f>IF($G$21="vacant",IF(2=Inputs!$C$9,$D$21*Inputs!$C$7,0),IF(2=($F$21-2025),$D$21*Inputs!$C$7*Inputs!$C$32,0))</f>
        <v/>
      </c>
      <c r="J21" s="19">
        <f>IF($G$21="vacant",IF(3=Inputs!$C$9,$D$21*Inputs!$C$7,0),IF(3=($F$21-2025),$D$21*Inputs!$C$7*Inputs!$C$32,0))</f>
        <v/>
      </c>
      <c r="K21" s="19">
        <f>IF($G$21="vacant",IF(4=Inputs!$C$9,$D$21*Inputs!$C$7,0),IF(4=($F$21-2025),$D$21*Inputs!$C$7*Inputs!$C$32,0))</f>
        <v/>
      </c>
      <c r="L21" s="19">
        <f>IF($G$21="vacant",IF(5=Inputs!$C$9,$D$21*Inputs!$C$7,0),IF(5=($F$21-2025),$D$21*Inputs!$C$7*Inputs!$C$32,0))</f>
        <v/>
      </c>
      <c r="M21" s="19">
        <f>IF($G$21="vacant",IF(6=Inputs!$C$9,$D$21*Inputs!$C$7,0),IF(6=($F$21-2025),$D$21*Inputs!$C$7*Inputs!$C$32,0))</f>
        <v/>
      </c>
      <c r="N21" s="19">
        <f>IF($G$21="vacant",IF(7=Inputs!$C$9,$D$21*Inputs!$C$7,0),IF(7=($F$21-2025),$D$21*Inputs!$C$7*Inputs!$C$32,0))</f>
        <v/>
      </c>
      <c r="O21" s="19">
        <f>IF($G$21="vacant",IF(8=Inputs!$C$9,$D$21*Inputs!$C$7,0),IF(8=($F$21-2025),$D$21*Inputs!$C$7*Inputs!$C$32,0))</f>
        <v/>
      </c>
      <c r="P21" s="19">
        <f>IF($G$21="vacant",IF(9=Inputs!$C$9,$D$21*Inputs!$C$7,0),IF(9=($F$21-2025),$D$21*Inputs!$C$7*Inputs!$C$32,0))</f>
        <v/>
      </c>
      <c r="Q21" s="19">
        <f>IF($G$21="vacant",IF(10=Inputs!$C$9,$D$21*Inputs!$C$7,0),IF(10=($F$21-2025),$D$21*Inputs!$C$7*Inputs!$C$32,0))</f>
        <v/>
      </c>
    </row>
    <row r="22">
      <c r="B22" t="inlineStr">
        <is>
          <t>220</t>
        </is>
      </c>
      <c r="C22" t="inlineStr">
        <is>
          <t>Bonck Group</t>
        </is>
      </c>
      <c r="D22" s="16">
        <f>'Rent Roll'!$E$22</f>
        <v/>
      </c>
      <c r="E22" s="17">
        <f>'Rent Roll'!$F$22</f>
        <v/>
      </c>
      <c r="F22">
        <f>'Rent Roll'!$G$22</f>
        <v/>
      </c>
      <c r="G22">
        <f>'Rent Roll'!$H$22</f>
        <v/>
      </c>
      <c r="H22" s="19">
        <f>IF($G$22="vacant",IF(1=Inputs!$C$9,$D$22*Inputs!$C$7,0),IF(1=($F$22-2025),$D$22*Inputs!$C$7*Inputs!$C$32,0))</f>
        <v/>
      </c>
      <c r="I22" s="19">
        <f>IF($G$22="vacant",IF(2=Inputs!$C$9,$D$22*Inputs!$C$7,0),IF(2=($F$22-2025),$D$22*Inputs!$C$7*Inputs!$C$32,0))</f>
        <v/>
      </c>
      <c r="J22" s="19">
        <f>IF($G$22="vacant",IF(3=Inputs!$C$9,$D$22*Inputs!$C$7,0),IF(3=($F$22-2025),$D$22*Inputs!$C$7*Inputs!$C$32,0))</f>
        <v/>
      </c>
      <c r="K22" s="19">
        <f>IF($G$22="vacant",IF(4=Inputs!$C$9,$D$22*Inputs!$C$7,0),IF(4=($F$22-2025),$D$22*Inputs!$C$7*Inputs!$C$32,0))</f>
        <v/>
      </c>
      <c r="L22" s="19">
        <f>IF($G$22="vacant",IF(5=Inputs!$C$9,$D$22*Inputs!$C$7,0),IF(5=($F$22-2025),$D$22*Inputs!$C$7*Inputs!$C$32,0))</f>
        <v/>
      </c>
      <c r="M22" s="19">
        <f>IF($G$22="vacant",IF(6=Inputs!$C$9,$D$22*Inputs!$C$7,0),IF(6=($F$22-2025),$D$22*Inputs!$C$7*Inputs!$C$32,0))</f>
        <v/>
      </c>
      <c r="N22" s="19">
        <f>IF($G$22="vacant",IF(7=Inputs!$C$9,$D$22*Inputs!$C$7,0),IF(7=($F$22-2025),$D$22*Inputs!$C$7*Inputs!$C$32,0))</f>
        <v/>
      </c>
      <c r="O22" s="19">
        <f>IF($G$22="vacant",IF(8=Inputs!$C$9,$D$22*Inputs!$C$7,0),IF(8=($F$22-2025),$D$22*Inputs!$C$7*Inputs!$C$32,0))</f>
        <v/>
      </c>
      <c r="P22" s="19">
        <f>IF($G$22="vacant",IF(9=Inputs!$C$9,$D$22*Inputs!$C$7,0),IF(9=($F$22-2025),$D$22*Inputs!$C$7*Inputs!$C$32,0))</f>
        <v/>
      </c>
      <c r="Q22" s="19">
        <f>IF($G$22="vacant",IF(10=Inputs!$C$9,$D$22*Inputs!$C$7,0),IF(10=($F$22-2025),$D$22*Inputs!$C$7*Inputs!$C$32,0))</f>
        <v/>
      </c>
    </row>
    <row r="23">
      <c r="B23" t="inlineStr">
        <is>
          <t>1413C</t>
        </is>
      </c>
      <c r="C23" t="inlineStr">
        <is>
          <t>Clean Juice</t>
        </is>
      </c>
      <c r="D23" s="16">
        <f>'Rent Roll'!$E$23</f>
        <v/>
      </c>
      <c r="E23" s="17">
        <f>'Rent Roll'!$F$23</f>
        <v/>
      </c>
      <c r="F23">
        <f>'Rent Roll'!$G$23</f>
        <v/>
      </c>
      <c r="G23">
        <f>'Rent Roll'!$H$23</f>
        <v/>
      </c>
      <c r="H23" s="19">
        <f>IF($G$23="vacant",IF(1=Inputs!$C$9,$D$23*Inputs!$C$7,0),IF(1=($F$23-2025),$D$23*Inputs!$C$7*Inputs!$C$32,0))</f>
        <v/>
      </c>
      <c r="I23" s="19">
        <f>IF($G$23="vacant",IF(2=Inputs!$C$9,$D$23*Inputs!$C$7,0),IF(2=($F$23-2025),$D$23*Inputs!$C$7*Inputs!$C$32,0))</f>
        <v/>
      </c>
      <c r="J23" s="19">
        <f>IF($G$23="vacant",IF(3=Inputs!$C$9,$D$23*Inputs!$C$7,0),IF(3=($F$23-2025),$D$23*Inputs!$C$7*Inputs!$C$32,0))</f>
        <v/>
      </c>
      <c r="K23" s="19">
        <f>IF($G$23="vacant",IF(4=Inputs!$C$9,$D$23*Inputs!$C$7,0),IF(4=($F$23-2025),$D$23*Inputs!$C$7*Inputs!$C$32,0))</f>
        <v/>
      </c>
      <c r="L23" s="19">
        <f>IF($G$23="vacant",IF(5=Inputs!$C$9,$D$23*Inputs!$C$7,0),IF(5=($F$23-2025),$D$23*Inputs!$C$7*Inputs!$C$32,0))</f>
        <v/>
      </c>
      <c r="M23" s="19">
        <f>IF($G$23="vacant",IF(6=Inputs!$C$9,$D$23*Inputs!$C$7,0),IF(6=($F$23-2025),$D$23*Inputs!$C$7*Inputs!$C$32,0))</f>
        <v/>
      </c>
      <c r="N23" s="19">
        <f>IF($G$23="vacant",IF(7=Inputs!$C$9,$D$23*Inputs!$C$7,0),IF(7=($F$23-2025),$D$23*Inputs!$C$7*Inputs!$C$32,0))</f>
        <v/>
      </c>
      <c r="O23" s="19">
        <f>IF($G$23="vacant",IF(8=Inputs!$C$9,$D$23*Inputs!$C$7,0),IF(8=($F$23-2025),$D$23*Inputs!$C$7*Inputs!$C$32,0))</f>
        <v/>
      </c>
      <c r="P23" s="19">
        <f>IF($G$23="vacant",IF(9=Inputs!$C$9,$D$23*Inputs!$C$7,0),IF(9=($F$23-2025),$D$23*Inputs!$C$7*Inputs!$C$32,0))</f>
        <v/>
      </c>
      <c r="Q23" s="19">
        <f>IF($G$23="vacant",IF(10=Inputs!$C$9,$D$23*Inputs!$C$7,0),IF(10=($F$23-2025),$D$23*Inputs!$C$7*Inputs!$C$32,0))</f>
        <v/>
      </c>
    </row>
    <row r="24">
      <c r="B24" t="inlineStr">
        <is>
          <t>1413D</t>
        </is>
      </c>
      <c r="C24" t="inlineStr">
        <is>
          <t>Jersey Mike's Subs</t>
        </is>
      </c>
      <c r="D24" s="16">
        <f>'Rent Roll'!$E$24</f>
        <v/>
      </c>
      <c r="E24" s="17">
        <f>'Rent Roll'!$F$24</f>
        <v/>
      </c>
      <c r="F24">
        <f>'Rent Roll'!$G$24</f>
        <v/>
      </c>
      <c r="G24">
        <f>'Rent Roll'!$H$24</f>
        <v/>
      </c>
      <c r="H24" s="19">
        <f>IF($G$24="vacant",IF(1=Inputs!$C$9,$D$24*Inputs!$C$7,0),IF(1=($F$24-2025),$D$24*Inputs!$C$7*Inputs!$C$32,0))</f>
        <v/>
      </c>
      <c r="I24" s="19">
        <f>IF($G$24="vacant",IF(2=Inputs!$C$9,$D$24*Inputs!$C$7,0),IF(2=($F$24-2025),$D$24*Inputs!$C$7*Inputs!$C$32,0))</f>
        <v/>
      </c>
      <c r="J24" s="19">
        <f>IF($G$24="vacant",IF(3=Inputs!$C$9,$D$24*Inputs!$C$7,0),IF(3=($F$24-2025),$D$24*Inputs!$C$7*Inputs!$C$32,0))</f>
        <v/>
      </c>
      <c r="K24" s="19">
        <f>IF($G$24="vacant",IF(4=Inputs!$C$9,$D$24*Inputs!$C$7,0),IF(4=($F$24-2025),$D$24*Inputs!$C$7*Inputs!$C$32,0))</f>
        <v/>
      </c>
      <c r="L24" s="19">
        <f>IF($G$24="vacant",IF(5=Inputs!$C$9,$D$24*Inputs!$C$7,0),IF(5=($F$24-2025),$D$24*Inputs!$C$7*Inputs!$C$32,0))</f>
        <v/>
      </c>
      <c r="M24" s="19">
        <f>IF($G$24="vacant",IF(6=Inputs!$C$9,$D$24*Inputs!$C$7,0),IF(6=($F$24-2025),$D$24*Inputs!$C$7*Inputs!$C$32,0))</f>
        <v/>
      </c>
      <c r="N24" s="19">
        <f>IF($G$24="vacant",IF(7=Inputs!$C$9,$D$24*Inputs!$C$7,0),IF(7=($F$24-2025),$D$24*Inputs!$C$7*Inputs!$C$32,0))</f>
        <v/>
      </c>
      <c r="O24" s="19">
        <f>IF($G$24="vacant",IF(8=Inputs!$C$9,$D$24*Inputs!$C$7,0),IF(8=($F$24-2025),$D$24*Inputs!$C$7*Inputs!$C$32,0))</f>
        <v/>
      </c>
      <c r="P24" s="19">
        <f>IF($G$24="vacant",IF(9=Inputs!$C$9,$D$24*Inputs!$C$7,0),IF(9=($F$24-2025),$D$24*Inputs!$C$7*Inputs!$C$32,0))</f>
        <v/>
      </c>
      <c r="Q24" s="19">
        <f>IF($G$24="vacant",IF(10=Inputs!$C$9,$D$24*Inputs!$C$7,0),IF(10=($F$24-2025),$D$24*Inputs!$C$7*Inputs!$C$32,0))</f>
        <v/>
      </c>
    </row>
    <row r="25">
      <c r="B25" t="inlineStr">
        <is>
          <t>110</t>
        </is>
      </c>
      <c r="C25" t="inlineStr">
        <is>
          <t>UPS Store</t>
        </is>
      </c>
      <c r="D25" s="16">
        <f>'Rent Roll'!$E$25</f>
        <v/>
      </c>
      <c r="E25" s="17">
        <f>'Rent Roll'!$F$25</f>
        <v/>
      </c>
      <c r="F25">
        <f>'Rent Roll'!$G$25</f>
        <v/>
      </c>
      <c r="G25">
        <f>'Rent Roll'!$H$25</f>
        <v/>
      </c>
      <c r="H25" s="19">
        <f>IF($G$25="vacant",IF(1=Inputs!$C$9,$D$25*Inputs!$C$7,0),IF(1=($F$25-2025),$D$25*Inputs!$C$7*Inputs!$C$32,0))</f>
        <v/>
      </c>
      <c r="I25" s="19">
        <f>IF($G$25="vacant",IF(2=Inputs!$C$9,$D$25*Inputs!$C$7,0),IF(2=($F$25-2025),$D$25*Inputs!$C$7*Inputs!$C$32,0))</f>
        <v/>
      </c>
      <c r="J25" s="19">
        <f>IF($G$25="vacant",IF(3=Inputs!$C$9,$D$25*Inputs!$C$7,0),IF(3=($F$25-2025),$D$25*Inputs!$C$7*Inputs!$C$32,0))</f>
        <v/>
      </c>
      <c r="K25" s="19">
        <f>IF($G$25="vacant",IF(4=Inputs!$C$9,$D$25*Inputs!$C$7,0),IF(4=($F$25-2025),$D$25*Inputs!$C$7*Inputs!$C$32,0))</f>
        <v/>
      </c>
      <c r="L25" s="19">
        <f>IF($G$25="vacant",IF(5=Inputs!$C$9,$D$25*Inputs!$C$7,0),IF(5=($F$25-2025),$D$25*Inputs!$C$7*Inputs!$C$32,0))</f>
        <v/>
      </c>
      <c r="M25" s="19">
        <f>IF($G$25="vacant",IF(6=Inputs!$C$9,$D$25*Inputs!$C$7,0),IF(6=($F$25-2025),$D$25*Inputs!$C$7*Inputs!$C$32,0))</f>
        <v/>
      </c>
      <c r="N25" s="19">
        <f>IF($G$25="vacant",IF(7=Inputs!$C$9,$D$25*Inputs!$C$7,0),IF(7=($F$25-2025),$D$25*Inputs!$C$7*Inputs!$C$32,0))</f>
        <v/>
      </c>
      <c r="O25" s="19">
        <f>IF($G$25="vacant",IF(8=Inputs!$C$9,$D$25*Inputs!$C$7,0),IF(8=($F$25-2025),$D$25*Inputs!$C$7*Inputs!$C$32,0))</f>
        <v/>
      </c>
      <c r="P25" s="19">
        <f>IF($G$25="vacant",IF(9=Inputs!$C$9,$D$25*Inputs!$C$7,0),IF(9=($F$25-2025),$D$25*Inputs!$C$7*Inputs!$C$32,0))</f>
        <v/>
      </c>
      <c r="Q25" s="19">
        <f>IF($G$25="vacant",IF(10=Inputs!$C$9,$D$25*Inputs!$C$7,0),IF(10=($F$25-2025),$D$25*Inputs!$C$7*Inputs!$C$32,0))</f>
        <v/>
      </c>
    </row>
    <row r="26">
      <c r="B26" s="8" t="inlineStr">
        <is>
          <t>TOTAL TI/LC</t>
        </is>
      </c>
      <c r="H26" s="5">
        <f>SUM(H6:H25)</f>
        <v/>
      </c>
      <c r="I26" s="5">
        <f>SUM(I6:I25)</f>
        <v/>
      </c>
      <c r="J26" s="5">
        <f>SUM(J6:J25)</f>
        <v/>
      </c>
      <c r="K26" s="5">
        <f>SUM(K6:K25)</f>
        <v/>
      </c>
      <c r="L26" s="5">
        <f>SUM(L6:L25)</f>
        <v/>
      </c>
      <c r="M26" s="5">
        <f>SUM(M6:M25)</f>
        <v/>
      </c>
      <c r="N26" s="5">
        <f>SUM(N6:N25)</f>
        <v/>
      </c>
      <c r="O26" s="5">
        <f>SUM(O6:O25)</f>
        <v/>
      </c>
      <c r="P26" s="5">
        <f>SUM(P6:P25)</f>
        <v/>
      </c>
      <c r="Q26" s="5">
        <f>SUM(Q6:Q25)</f>
        <v/>
      </c>
    </row>
    <row r="27">
      <c r="B27" s="1" t="inlineStr">
        <is>
          <t>CUMULATIVE TI/LC</t>
        </is>
      </c>
      <c r="H27" s="2">
        <f>H26</f>
        <v/>
      </c>
      <c r="I27" s="2">
        <f>H27+I26</f>
        <v/>
      </c>
      <c r="J27" s="2">
        <f>I27+J26</f>
        <v/>
      </c>
      <c r="K27" s="2">
        <f>J27+K26</f>
        <v/>
      </c>
      <c r="L27" s="2">
        <f>K27+L26</f>
        <v/>
      </c>
      <c r="M27" s="2">
        <f>L27+M26</f>
        <v/>
      </c>
      <c r="N27" s="2">
        <f>M27+N26</f>
        <v/>
      </c>
      <c r="O27" s="2">
        <f>N27+O26</f>
        <v/>
      </c>
      <c r="P27" s="2">
        <f>O27+P26</f>
        <v/>
      </c>
      <c r="Q27" s="2">
        <f>P27+Q26</f>
        <v/>
      </c>
    </row>
  </sheetData>
  <mergeCells count="1">
    <mergeCell ref="B2:Q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L15"/>
  <sheetViews>
    <sheetView workbookViewId="0">
      <selection activeCell="D6" sqref="D6"/>
    </sheetView>
  </sheetViews>
  <sheetFormatPr baseColWidth="10" defaultColWidth="8.83203125" defaultRowHeight="15"/>
  <cols>
    <col width="3.6640625" customWidth="1" style="40" min="1" max="1"/>
    <col width="36.6640625" customWidth="1" style="40" min="2" max="2"/>
    <col width="14.6640625" customWidth="1" style="40" min="3" max="12"/>
  </cols>
  <sheetData>
    <row r="2" ht="16" customHeight="1" s="40">
      <c r="B2" s="41" t="inlineStr">
        <is>
          <t>NOI BUILD — 10 YEARS</t>
        </is>
      </c>
    </row>
    <row r="5">
      <c r="C5" s="8" t="inlineStr">
        <is>
          <t>Y1 (2026)</t>
        </is>
      </c>
      <c r="D5" s="8" t="inlineStr">
        <is>
          <t>Y2 (2027)</t>
        </is>
      </c>
      <c r="E5" s="8" t="inlineStr">
        <is>
          <t>Y3 (2028)</t>
        </is>
      </c>
      <c r="F5" s="8" t="inlineStr">
        <is>
          <t>Y4 (2029)</t>
        </is>
      </c>
      <c r="G5" s="8" t="inlineStr">
        <is>
          <t>Y5 (2030)</t>
        </is>
      </c>
      <c r="H5" s="8" t="inlineStr">
        <is>
          <t>Y6 (2031)</t>
        </is>
      </c>
      <c r="I5" s="8" t="inlineStr">
        <is>
          <t>Y7 (2032)</t>
        </is>
      </c>
      <c r="J5" s="8" t="inlineStr">
        <is>
          <t>Y8 (2033)</t>
        </is>
      </c>
      <c r="K5" s="8" t="inlineStr">
        <is>
          <t>Y9 (2034)</t>
        </is>
      </c>
      <c r="L5" s="8" t="inlineStr">
        <is>
          <t>Y10 (2035)</t>
        </is>
      </c>
    </row>
    <row r="6">
      <c r="B6" t="inlineStr">
        <is>
          <t>Base Rent (from 'Rent by Suite')</t>
        </is>
      </c>
      <c r="C6" s="18">
        <f>'Rent by Suite'!H26</f>
        <v/>
      </c>
      <c r="D6" s="18">
        <f>'Rent by Suite'!I26</f>
        <v/>
      </c>
      <c r="E6" s="18">
        <f>'Rent by Suite'!J26</f>
        <v/>
      </c>
      <c r="F6" s="18">
        <f>'Rent by Suite'!K26</f>
        <v/>
      </c>
      <c r="G6" s="18">
        <f>'Rent by Suite'!L26</f>
        <v/>
      </c>
      <c r="H6" s="18">
        <f>'Rent by Suite'!M26</f>
        <v/>
      </c>
      <c r="I6" s="18">
        <f>'Rent by Suite'!N26</f>
        <v/>
      </c>
      <c r="J6" s="18">
        <f>'Rent by Suite'!O26</f>
        <v/>
      </c>
      <c r="K6" s="18">
        <f>'Rent by Suite'!P26</f>
        <v/>
      </c>
      <c r="L6" s="18">
        <f>'Rent by Suite'!Q26</f>
        <v/>
      </c>
    </row>
    <row r="7">
      <c r="B7" t="inlineStr">
        <is>
          <t>+ CVS Ground Lease</t>
        </is>
      </c>
      <c r="C7" s="18">
        <f>IF(1&lt;Inputs!$C$23,Inputs!$C$20,IF(1=Inputs!$C$23,Inputs!$C$20*Inputs!$C$24/12+Inputs!$C$22*(12-Inputs!$C$24)/12,Inputs!$C$22))</f>
        <v/>
      </c>
      <c r="D7" s="18">
        <f>IF(2&lt;Inputs!$C$23,Inputs!$C$20,IF(2=Inputs!$C$23,Inputs!$C$20*Inputs!$C$24/12+Inputs!$C$22*(12-Inputs!$C$24)/12,Inputs!$C$22))</f>
        <v/>
      </c>
      <c r="E7" s="18">
        <f>IF(3&lt;Inputs!$C$23,Inputs!$C$20,IF(3=Inputs!$C$23,Inputs!$C$20*Inputs!$C$24/12+Inputs!$C$22*(12-Inputs!$C$24)/12,Inputs!$C$22))</f>
        <v/>
      </c>
      <c r="F7" s="18">
        <f>IF(4&lt;Inputs!$C$23,Inputs!$C$20,IF(4=Inputs!$C$23,Inputs!$C$20*Inputs!$C$24/12+Inputs!$C$22*(12-Inputs!$C$24)/12,Inputs!$C$22))</f>
        <v/>
      </c>
      <c r="G7" s="18">
        <f>IF(5&lt;Inputs!$C$23,Inputs!$C$20,IF(5=Inputs!$C$23,Inputs!$C$20*Inputs!$C$24/12+Inputs!$C$22*(12-Inputs!$C$24)/12,Inputs!$C$22))</f>
        <v/>
      </c>
      <c r="H7" s="18">
        <f>IF(6&lt;Inputs!$C$23,Inputs!$C$20,IF(6=Inputs!$C$23,Inputs!$C$20*Inputs!$C$24/12+Inputs!$C$22*(12-Inputs!$C$24)/12,Inputs!$C$22))</f>
        <v/>
      </c>
      <c r="I7" s="18">
        <f>IF(7&lt;Inputs!$C$23,Inputs!$C$20,IF(7=Inputs!$C$23,Inputs!$C$20*Inputs!$C$24/12+Inputs!$C$22*(12-Inputs!$C$24)/12,Inputs!$C$22))</f>
        <v/>
      </c>
      <c r="J7" s="18">
        <f>IF(8&lt;Inputs!$C$23,Inputs!$C$20,IF(8=Inputs!$C$23,Inputs!$C$20*Inputs!$C$24/12+Inputs!$C$22*(12-Inputs!$C$24)/12,Inputs!$C$22))</f>
        <v/>
      </c>
      <c r="K7" s="18">
        <f>IF(9&lt;Inputs!$C$23,Inputs!$C$20,IF(9=Inputs!$C$23,Inputs!$C$20*Inputs!$C$24/12+Inputs!$C$22*(12-Inputs!$C$24)/12,Inputs!$C$22))</f>
        <v/>
      </c>
      <c r="L7" s="18">
        <f>IF(10&lt;Inputs!$C$23,Inputs!$C$20,IF(10=Inputs!$C$23,Inputs!$C$20*Inputs!$C$24/12+Inputs!$C$22*(12-Inputs!$C$24)/12,Inputs!$C$22))</f>
        <v/>
      </c>
    </row>
    <row r="8">
      <c r="B8" s="1" t="inlineStr">
        <is>
          <t xml:space="preserve">  Recovery Rate (helper)</t>
        </is>
      </c>
      <c r="C8" s="3">
        <f>MIN(Inputs!$C$14+(Inputs!$C$15-Inputs!$C$14)*(1-1)/4,Inputs!$C$15)</f>
        <v/>
      </c>
      <c r="D8" s="3">
        <f>MIN(Inputs!$C$14+(Inputs!$C$15-Inputs!$C$14)*(2-1)/4,Inputs!$C$15)</f>
        <v/>
      </c>
      <c r="E8" s="3">
        <f>MIN(Inputs!$C$14+(Inputs!$C$15-Inputs!$C$14)*(3-1)/4,Inputs!$C$15)</f>
        <v/>
      </c>
      <c r="F8" s="3">
        <f>MIN(Inputs!$C$14+(Inputs!$C$15-Inputs!$C$14)*(4-1)/4,Inputs!$C$15)</f>
        <v/>
      </c>
      <c r="G8" s="3">
        <f>MIN(Inputs!$C$14+(Inputs!$C$15-Inputs!$C$14)*(5-1)/4,Inputs!$C$15)</f>
        <v/>
      </c>
      <c r="H8" s="3">
        <f>MIN(Inputs!$C$14+(Inputs!$C$15-Inputs!$C$14)*(6-1)/4,Inputs!$C$15)</f>
        <v/>
      </c>
      <c r="I8" s="3">
        <f>MIN(Inputs!$C$14+(Inputs!$C$15-Inputs!$C$14)*(7-1)/4,Inputs!$C$15)</f>
        <v/>
      </c>
      <c r="J8" s="3">
        <f>MIN(Inputs!$C$14+(Inputs!$C$15-Inputs!$C$14)*(8-1)/4,Inputs!$C$15)</f>
        <v/>
      </c>
      <c r="K8" s="3">
        <f>MIN(Inputs!$C$14+(Inputs!$C$15-Inputs!$C$14)*(9-1)/4,Inputs!$C$15)</f>
        <v/>
      </c>
      <c r="L8" s="3">
        <f>MIN(Inputs!$C$14+(Inputs!$C$15-Inputs!$C$14)*(10-1)/4,Inputs!$C$15)</f>
        <v/>
      </c>
    </row>
    <row r="9">
      <c r="B9" s="1" t="inlineStr">
        <is>
          <t xml:space="preserve">  OpEx (escalated)</t>
        </is>
      </c>
      <c r="C9" s="2">
        <f>Inputs!$C$12*(1+Inputs!$C$13)^(1-1)</f>
        <v/>
      </c>
      <c r="D9" s="2">
        <f>Inputs!$C$12*(1+Inputs!$C$13)^(2-1)</f>
        <v/>
      </c>
      <c r="E9" s="2">
        <f>Inputs!$C$12*(1+Inputs!$C$13)^(3-1)</f>
        <v/>
      </c>
      <c r="F9" s="2">
        <f>Inputs!$C$12*(1+Inputs!$C$13)^(4-1)</f>
        <v/>
      </c>
      <c r="G9" s="2">
        <f>Inputs!$C$12*(1+Inputs!$C$13)^(5-1)</f>
        <v/>
      </c>
      <c r="H9" s="2">
        <f>Inputs!$C$12*(1+Inputs!$C$13)^(6-1)</f>
        <v/>
      </c>
      <c r="I9" s="2">
        <f>Inputs!$C$12*(1+Inputs!$C$13)^(7-1)</f>
        <v/>
      </c>
      <c r="J9" s="2">
        <f>Inputs!$C$12*(1+Inputs!$C$13)^(8-1)</f>
        <v/>
      </c>
      <c r="K9" s="2">
        <f>Inputs!$C$12*(1+Inputs!$C$13)^(9-1)</f>
        <v/>
      </c>
      <c r="L9" s="2">
        <f>Inputs!$C$12*(1+Inputs!$C$13)^(10-1)</f>
        <v/>
      </c>
    </row>
    <row r="10">
      <c r="B10" t="inlineStr">
        <is>
          <t>+ Expense Recoveries (rate × opex)</t>
        </is>
      </c>
      <c r="C10" s="18">
        <f>C8*C9</f>
        <v/>
      </c>
      <c r="D10" s="18">
        <f>D8*D9</f>
        <v/>
      </c>
      <c r="E10" s="18">
        <f>E8*E9</f>
        <v/>
      </c>
      <c r="F10" s="18">
        <f>F8*F9</f>
        <v/>
      </c>
      <c r="G10" s="18">
        <f>G8*G9</f>
        <v/>
      </c>
      <c r="H10" s="18">
        <f>H8*H9</f>
        <v/>
      </c>
      <c r="I10" s="18">
        <f>I8*I9</f>
        <v/>
      </c>
      <c r="J10" s="18">
        <f>J8*J9</f>
        <v/>
      </c>
      <c r="K10" s="18">
        <f>K8*K9</f>
        <v/>
      </c>
      <c r="L10" s="18">
        <f>L8*L9</f>
        <v/>
      </c>
    </row>
    <row r="11">
      <c r="B11" t="inlineStr">
        <is>
          <t>+ Other Income</t>
        </is>
      </c>
      <c r="C11" s="18">
        <f>Inputs!$C$17</f>
        <v/>
      </c>
      <c r="D11" s="18">
        <f>Inputs!$C$17</f>
        <v/>
      </c>
      <c r="E11" s="18">
        <f>Inputs!$C$17</f>
        <v/>
      </c>
      <c r="F11" s="18">
        <f>Inputs!$C$17</f>
        <v/>
      </c>
      <c r="G11" s="18">
        <f>Inputs!$C$17</f>
        <v/>
      </c>
      <c r="H11" s="18">
        <f>Inputs!$C$17</f>
        <v/>
      </c>
      <c r="I11" s="18">
        <f>Inputs!$C$17</f>
        <v/>
      </c>
      <c r="J11" s="18">
        <f>Inputs!$C$17</f>
        <v/>
      </c>
      <c r="K11" s="18">
        <f>Inputs!$C$17</f>
        <v/>
      </c>
      <c r="L11" s="18">
        <f>Inputs!$C$17</f>
        <v/>
      </c>
    </row>
    <row r="12">
      <c r="B12" t="inlineStr">
        <is>
          <t>− Vacancy / Credit Loss</t>
        </is>
      </c>
      <c r="C12" s="19">
        <f>-C6*Inputs!$C$16</f>
        <v/>
      </c>
      <c r="D12" s="19">
        <f>-D6*Inputs!$C$16</f>
        <v/>
      </c>
      <c r="E12" s="19">
        <f>-E6*Inputs!$C$16</f>
        <v/>
      </c>
      <c r="F12" s="19">
        <f>-F6*Inputs!$C$16</f>
        <v/>
      </c>
      <c r="G12" s="19">
        <f>-G6*Inputs!$C$16</f>
        <v/>
      </c>
      <c r="H12" s="19">
        <f>-H6*Inputs!$C$16</f>
        <v/>
      </c>
      <c r="I12" s="19">
        <f>-I6*Inputs!$C$16</f>
        <v/>
      </c>
      <c r="J12" s="19">
        <f>-J6*Inputs!$C$16</f>
        <v/>
      </c>
      <c r="K12" s="19">
        <f>-K6*Inputs!$C$16</f>
        <v/>
      </c>
      <c r="L12" s="19">
        <f>-L6*Inputs!$C$16</f>
        <v/>
      </c>
    </row>
    <row r="13">
      <c r="B13" s="8" t="inlineStr">
        <is>
          <t>EGI</t>
        </is>
      </c>
      <c r="C13" s="5">
        <f>C6+C7+C10+C11+C12</f>
        <v/>
      </c>
      <c r="D13" s="5">
        <f>D6+D7+D10+D11+D12</f>
        <v/>
      </c>
      <c r="E13" s="5">
        <f>E6+E7+E10+E11+E12</f>
        <v/>
      </c>
      <c r="F13" s="5">
        <f>F6+F7+F10+F11+F12</f>
        <v/>
      </c>
      <c r="G13" s="5">
        <f>G6+G7+G10+G11+G12</f>
        <v/>
      </c>
      <c r="H13" s="5">
        <f>H6+H7+H10+H11+H12</f>
        <v/>
      </c>
      <c r="I13" s="5">
        <f>I6+I7+I10+I11+I12</f>
        <v/>
      </c>
      <c r="J13" s="5">
        <f>J6+J7+J10+J11+J12</f>
        <v/>
      </c>
      <c r="K13" s="5">
        <f>K6+K7+K10+K11+K12</f>
        <v/>
      </c>
      <c r="L13" s="5">
        <f>L6+L7+L10+L11+L12</f>
        <v/>
      </c>
    </row>
    <row r="14">
      <c r="B14" t="inlineStr">
        <is>
          <t>− Operating Expenses</t>
        </is>
      </c>
      <c r="C14" s="19">
        <f>-C9</f>
        <v/>
      </c>
      <c r="D14" s="19">
        <f>-D9</f>
        <v/>
      </c>
      <c r="E14" s="19">
        <f>-E9</f>
        <v/>
      </c>
      <c r="F14" s="19">
        <f>-F9</f>
        <v/>
      </c>
      <c r="G14" s="19">
        <f>-G9</f>
        <v/>
      </c>
      <c r="H14" s="19">
        <f>-H9</f>
        <v/>
      </c>
      <c r="I14" s="19">
        <f>-I9</f>
        <v/>
      </c>
      <c r="J14" s="19">
        <f>-J9</f>
        <v/>
      </c>
      <c r="K14" s="19">
        <f>-K9</f>
        <v/>
      </c>
      <c r="L14" s="19">
        <f>-L9</f>
        <v/>
      </c>
    </row>
    <row r="15">
      <c r="B15" s="8" t="inlineStr">
        <is>
          <t>NOI</t>
        </is>
      </c>
      <c r="C15" s="5">
        <f>C13+C14</f>
        <v/>
      </c>
      <c r="D15" s="5">
        <f>D13+D14</f>
        <v/>
      </c>
      <c r="E15" s="5">
        <f>E13+E14</f>
        <v/>
      </c>
      <c r="F15" s="5">
        <f>F13+F14</f>
        <v/>
      </c>
      <c r="G15" s="5">
        <f>G13+G14</f>
        <v/>
      </c>
      <c r="H15" s="5">
        <f>H13+H14</f>
        <v/>
      </c>
      <c r="I15" s="5">
        <f>I13+I14</f>
        <v/>
      </c>
      <c r="J15" s="5">
        <f>J13+J14</f>
        <v/>
      </c>
      <c r="K15" s="5">
        <f>K13+K14</f>
        <v/>
      </c>
      <c r="L15" s="5">
        <f>L13+L14</f>
        <v/>
      </c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L7"/>
  <sheetViews>
    <sheetView workbookViewId="0">
      <selection activeCell="A1" sqref="A1"/>
    </sheetView>
  </sheetViews>
  <sheetFormatPr baseColWidth="10" defaultColWidth="8.83203125" defaultRowHeight="15"/>
  <cols>
    <col width="3.6640625" customWidth="1" style="40" min="1" max="1"/>
    <col width="32.6640625" customWidth="1" style="40" min="2" max="2"/>
    <col width="14.6640625" customWidth="1" style="40" min="3" max="12"/>
  </cols>
  <sheetData>
    <row r="2" ht="16" customHeight="1" s="40">
      <c r="B2" s="41" t="inlineStr">
        <is>
          <t>TI/LC SCHEDULE</t>
        </is>
      </c>
    </row>
    <row r="5">
      <c r="C5" s="8" t="inlineStr">
        <is>
          <t>Y1 (2026)</t>
        </is>
      </c>
      <c r="D5" s="8" t="inlineStr">
        <is>
          <t>Y2 (2027)</t>
        </is>
      </c>
      <c r="E5" s="8" t="inlineStr">
        <is>
          <t>Y3 (2028)</t>
        </is>
      </c>
      <c r="F5" s="8" t="inlineStr">
        <is>
          <t>Y4 (2029)</t>
        </is>
      </c>
      <c r="G5" s="8" t="inlineStr">
        <is>
          <t>Y5 (2030)</t>
        </is>
      </c>
      <c r="H5" s="8" t="inlineStr">
        <is>
          <t>Y6 (2031)</t>
        </is>
      </c>
      <c r="I5" s="8" t="inlineStr">
        <is>
          <t>Y7 (2032)</t>
        </is>
      </c>
      <c r="J5" s="8" t="inlineStr">
        <is>
          <t>Y8 (2033)</t>
        </is>
      </c>
      <c r="K5" s="8" t="inlineStr">
        <is>
          <t>Y9 (2034)</t>
        </is>
      </c>
      <c r="L5" s="8" t="inlineStr">
        <is>
          <t>Y10 (2035)</t>
        </is>
      </c>
    </row>
    <row r="6">
      <c r="B6" t="inlineStr">
        <is>
          <t>Annual TI/LC (from 'TI by Suite')</t>
        </is>
      </c>
      <c r="C6" s="19">
        <f>'TI by Suite'!H26</f>
        <v/>
      </c>
      <c r="D6" s="19">
        <f>'TI by Suite'!I26</f>
        <v/>
      </c>
      <c r="E6" s="19">
        <f>'TI by Suite'!J26</f>
        <v/>
      </c>
      <c r="F6" s="19">
        <f>'TI by Suite'!K26</f>
        <v/>
      </c>
      <c r="G6" s="19">
        <f>'TI by Suite'!L26</f>
        <v/>
      </c>
      <c r="H6" s="19">
        <f>'TI by Suite'!M26</f>
        <v/>
      </c>
      <c r="I6" s="19">
        <f>'TI by Suite'!N26</f>
        <v/>
      </c>
      <c r="J6" s="19">
        <f>'TI by Suite'!O26</f>
        <v/>
      </c>
      <c r="K6" s="19">
        <f>'TI by Suite'!P26</f>
        <v/>
      </c>
      <c r="L6" s="19">
        <f>'TI by Suite'!Q26</f>
        <v/>
      </c>
    </row>
    <row r="7">
      <c r="B7" t="inlineStr">
        <is>
          <t>Cumulative TI/LC</t>
        </is>
      </c>
      <c r="C7" s="2">
        <f>C6</f>
        <v/>
      </c>
      <c r="D7" s="2">
        <f>C7+D6</f>
        <v/>
      </c>
      <c r="E7" s="2">
        <f>D7+E6</f>
        <v/>
      </c>
      <c r="F7" s="2">
        <f>E7+F6</f>
        <v/>
      </c>
      <c r="G7" s="2">
        <f>F7+G6</f>
        <v/>
      </c>
      <c r="H7" s="2">
        <f>G7+H6</f>
        <v/>
      </c>
      <c r="I7" s="2">
        <f>H7+I6</f>
        <v/>
      </c>
      <c r="J7" s="2">
        <f>I7+J6</f>
        <v/>
      </c>
      <c r="K7" s="2">
        <f>J7+K6</f>
        <v/>
      </c>
      <c r="L7" s="2">
        <f>K7+L6</f>
        <v/>
      </c>
    </row>
  </sheetData>
  <mergeCells count="1">
    <mergeCell ref="B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L10"/>
  <sheetViews>
    <sheetView workbookViewId="0">
      <selection activeCell="B10" sqref="B10"/>
    </sheetView>
  </sheetViews>
  <sheetFormatPr baseColWidth="10" defaultColWidth="8.83203125" defaultRowHeight="15"/>
  <cols>
    <col width="3.6640625" customWidth="1" style="40" min="1" max="1"/>
    <col width="36.6640625" customWidth="1" style="40" min="2" max="2"/>
    <col width="14.6640625" customWidth="1" style="40" min="3" max="12"/>
  </cols>
  <sheetData>
    <row r="2" ht="16" customHeight="1" s="40">
      <c r="B2" s="41" t="inlineStr">
        <is>
          <t>ESCROW ROLL</t>
        </is>
      </c>
    </row>
    <row r="5">
      <c r="C5" s="8" t="inlineStr">
        <is>
          <t>Y1 (2026)</t>
        </is>
      </c>
      <c r="D5" s="8" t="inlineStr">
        <is>
          <t>Y2 (2027)</t>
        </is>
      </c>
      <c r="E5" s="8" t="inlineStr">
        <is>
          <t>Y3 (2028)</t>
        </is>
      </c>
      <c r="F5" s="8" t="inlineStr">
        <is>
          <t>Y4 (2029)</t>
        </is>
      </c>
      <c r="G5" s="8" t="inlineStr">
        <is>
          <t>Y5 (2030)</t>
        </is>
      </c>
      <c r="H5" s="8" t="inlineStr">
        <is>
          <t>Y6 (2031)</t>
        </is>
      </c>
      <c r="I5" s="8" t="inlineStr">
        <is>
          <t>Y7 (2032)</t>
        </is>
      </c>
      <c r="J5" s="8" t="inlineStr">
        <is>
          <t>Y8 (2033)</t>
        </is>
      </c>
      <c r="K5" s="8" t="inlineStr">
        <is>
          <t>Y9 (2034)</t>
        </is>
      </c>
      <c r="L5" s="8" t="inlineStr">
        <is>
          <t>Y10 (2035)</t>
        </is>
      </c>
    </row>
    <row r="6">
      <c r="B6" t="inlineStr">
        <is>
          <t>Begin Balance</t>
        </is>
      </c>
      <c r="C6" s="18">
        <f>Inputs!$C$42</f>
        <v/>
      </c>
      <c r="D6" s="18">
        <f>C9</f>
        <v/>
      </c>
      <c r="E6" s="18">
        <f>D9</f>
        <v/>
      </c>
      <c r="F6" s="18">
        <f>E9</f>
        <v/>
      </c>
      <c r="G6" s="18">
        <f>F9</f>
        <v/>
      </c>
      <c r="H6" s="18">
        <f>G9</f>
        <v/>
      </c>
      <c r="I6" s="18">
        <f>H9</f>
        <v/>
      </c>
      <c r="J6" s="18">
        <f>I9</f>
        <v/>
      </c>
      <c r="K6" s="18">
        <f>J9</f>
        <v/>
      </c>
      <c r="L6" s="18">
        <f>K9</f>
        <v/>
      </c>
    </row>
    <row r="7">
      <c r="B7" t="inlineStr">
        <is>
          <t>+ T-Bill Interest</t>
        </is>
      </c>
      <c r="C7" s="18">
        <f>C6*Inputs!$C$43</f>
        <v/>
      </c>
      <c r="D7" s="18">
        <f>D6*Inputs!$C$43</f>
        <v/>
      </c>
      <c r="E7" s="18">
        <f>E6*Inputs!$C$43</f>
        <v/>
      </c>
      <c r="F7" s="18">
        <f>F6*Inputs!$C$43</f>
        <v/>
      </c>
      <c r="G7" s="18">
        <f>G6*Inputs!$C$43</f>
        <v/>
      </c>
      <c r="H7" s="18">
        <f>H6*Inputs!$C$43</f>
        <v/>
      </c>
      <c r="I7" s="18">
        <f>I6*Inputs!$C$43</f>
        <v/>
      </c>
      <c r="J7" s="18">
        <f>J6*Inputs!$C$43</f>
        <v/>
      </c>
      <c r="K7" s="18">
        <f>K6*Inputs!$C$43</f>
        <v/>
      </c>
      <c r="L7" s="18">
        <f>L6*Inputs!$C$43</f>
        <v/>
      </c>
    </row>
    <row r="8">
      <c r="B8" t="inlineStr">
        <is>
          <t>− TI/LC Draw (capped at avail)</t>
        </is>
      </c>
      <c r="C8" s="19">
        <f>-MIN('TI-LC Schedule'!C6,C6+C7)</f>
        <v/>
      </c>
      <c r="D8" s="19">
        <f>-MIN('TI-LC Schedule'!D6,D6+D7)</f>
        <v/>
      </c>
      <c r="E8" s="19">
        <f>-MIN('TI-LC Schedule'!E6,E6+E7)</f>
        <v/>
      </c>
      <c r="F8" s="19">
        <f>-MIN('TI-LC Schedule'!F6,F6+F7)</f>
        <v/>
      </c>
      <c r="G8" s="19">
        <f>-MIN('TI-LC Schedule'!G6,G6+G7)</f>
        <v/>
      </c>
      <c r="H8" s="19">
        <f>-MIN('TI-LC Schedule'!H6,H6+H7)</f>
        <v/>
      </c>
      <c r="I8" s="19">
        <f>-MIN('TI-LC Schedule'!I6,I6+I7)</f>
        <v/>
      </c>
      <c r="J8" s="19">
        <f>-MIN('TI-LC Schedule'!J6,J6+J7)</f>
        <v/>
      </c>
      <c r="K8" s="19">
        <f>-MIN('TI-LC Schedule'!K6,K6+K7)</f>
        <v/>
      </c>
      <c r="L8" s="19">
        <f>-MIN('TI-LC Schedule'!L6,L6+L7)</f>
        <v/>
      </c>
    </row>
    <row r="9">
      <c r="B9" s="8" t="inlineStr">
        <is>
          <t>End Balance</t>
        </is>
      </c>
      <c r="C9" s="5">
        <f>C6+C7+C8</f>
        <v/>
      </c>
      <c r="D9" s="5">
        <f>D6+D7+D8</f>
        <v/>
      </c>
      <c r="E9" s="5">
        <f>E6+E7+E8</f>
        <v/>
      </c>
      <c r="F9" s="5">
        <f>F6+F7+F8</f>
        <v/>
      </c>
      <c r="G9" s="5">
        <f>G6+G7+G8</f>
        <v/>
      </c>
      <c r="H9" s="5">
        <f>H6+H7+H8</f>
        <v/>
      </c>
      <c r="I9" s="5">
        <f>I6+I7+I8</f>
        <v/>
      </c>
      <c r="J9" s="5">
        <f>J6+J7+J8</f>
        <v/>
      </c>
      <c r="K9" s="5">
        <f>K6+K7+K8</f>
        <v/>
      </c>
      <c r="L9" s="5">
        <f>L6+L7+L8</f>
        <v/>
      </c>
    </row>
    <row r="10">
      <c r="B10" t="inlineStr">
        <is>
          <t>Op CF Shortfall</t>
        </is>
      </c>
      <c r="C10" s="2">
        <f>MAX('TI-LC Schedule'!C6+C8,0)</f>
        <v/>
      </c>
      <c r="D10" s="2">
        <f>MAX('TI-LC Schedule'!D6+D8,0)</f>
        <v/>
      </c>
      <c r="E10" s="2">
        <f>MAX('TI-LC Schedule'!E6+E8,0)</f>
        <v/>
      </c>
      <c r="F10" s="2">
        <f>MAX('TI-LC Schedule'!F6+F8,0)</f>
        <v/>
      </c>
      <c r="G10" s="2">
        <f>MAX('TI-LC Schedule'!G6+G8,0)</f>
        <v/>
      </c>
      <c r="H10" s="2">
        <f>MAX('TI-LC Schedule'!H6+H8,0)</f>
        <v/>
      </c>
      <c r="I10" s="2">
        <f>MAX('TI-LC Schedule'!I6+I8,0)</f>
        <v/>
      </c>
      <c r="J10" s="2">
        <f>MAX('TI-LC Schedule'!J6+J8,0)</f>
        <v/>
      </c>
      <c r="K10" s="2">
        <f>MAX('TI-LC Schedule'!K6+K8,0)</f>
        <v/>
      </c>
      <c r="L10" s="2">
        <f>MAX('TI-LC Schedule'!L6+L8,0)</f>
        <v/>
      </c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2026-05-25T03:24:36Z</dcterms:created>
  <dcterms:modified xmlns:dcterms="http://purl.org/dc/terms/" xmlns:xsi="http://www.w3.org/2001/XMLSchema-instance" xsi:type="dcterms:W3CDTF">2026-05-25T21:17:32Z</dcterms:modified>
  <cp:lastModifiedBy>Microsoft Office User</cp:lastModifiedBy>
</cp:coreProperties>
</file>